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e\Downloads\"/>
    </mc:Choice>
  </mc:AlternateContent>
  <xr:revisionPtr revIDLastSave="0" documentId="8_{4B23ECCD-42F9-4B67-BE95-40C3DBF37A72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Course Detail-Term-V" sheetId="33" r:id="rId1"/>
    <sheet name="Class Schedule-Term-V" sheetId="36" r:id="rId2"/>
  </sheets>
  <externalReferences>
    <externalReference r:id="rId3"/>
  </externalReferences>
  <definedNames>
    <definedName name="_xlnm._FilterDatabase" localSheetId="1" hidden="1">'Class Schedule-Term-V'!$A$70:$P$112</definedName>
    <definedName name="_xlnm._FilterDatabase" localSheetId="0" hidden="1">'Course Detail-Term-V'!$A$1:$HI$22</definedName>
    <definedName name="AA">[1]Range!$C$3:$D$16</definedName>
    <definedName name="FG" localSheetId="1">#REF!</definedName>
    <definedName name="FG" localSheetId="0">#REF!</definedName>
    <definedName name="FG">#REF!</definedName>
    <definedName name="GP" localSheetId="1">#REF!</definedName>
    <definedName name="GP" localSheetId="0">#REF!</definedName>
    <definedName name="GP">#REF!</definedName>
    <definedName name="_xlnm.Print_Area" localSheetId="1">'Class Schedule-Term-V'!$A$1:$N$114</definedName>
    <definedName name="_xlnm.Print_Area" localSheetId="0">'Course Detail-Term-V'!$A$1:$L$22</definedName>
    <definedName name="_xlnm.Print_Titles" localSheetId="1">'Class Schedule-Term-V'!$1:$2</definedName>
    <definedName name="range" localSheetId="1">#REF!</definedName>
    <definedName name="range" localSheetId="0">#REF!</definedName>
    <definedName name="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36" l="1"/>
  <c r="H75" i="36"/>
  <c r="H74" i="36"/>
  <c r="H73" i="36"/>
  <c r="G92" i="36" l="1"/>
  <c r="G75" i="36"/>
  <c r="G73" i="36"/>
  <c r="H114" i="36"/>
  <c r="G115" i="36"/>
  <c r="G102" i="36"/>
  <c r="E102" i="36"/>
  <c r="F91" i="36"/>
  <c r="G90" i="36"/>
  <c r="E107" i="36"/>
  <c r="F90" i="36"/>
  <c r="F99" i="36" l="1"/>
  <c r="K23" i="33" l="1"/>
  <c r="E90" i="36" l="1"/>
  <c r="F106" i="36"/>
  <c r="F83" i="36"/>
  <c r="E86" i="36"/>
  <c r="F85" i="36"/>
  <c r="F73" i="36"/>
  <c r="F115" i="36"/>
  <c r="E115" i="36"/>
  <c r="D115" i="36"/>
  <c r="H102" i="36"/>
  <c r="H101" i="36"/>
  <c r="F114" i="36"/>
  <c r="E114" i="36"/>
  <c r="D114" i="36"/>
  <c r="G113" i="36"/>
  <c r="F113" i="36"/>
  <c r="E113" i="36"/>
  <c r="D113" i="36"/>
  <c r="G112" i="36"/>
  <c r="F112" i="36"/>
  <c r="E112" i="36"/>
  <c r="D112" i="36"/>
  <c r="F111" i="36"/>
  <c r="E111" i="36"/>
  <c r="D111" i="36"/>
  <c r="E109" i="36"/>
  <c r="D109" i="36"/>
  <c r="E108" i="36"/>
  <c r="D108" i="36"/>
  <c r="E106" i="36"/>
  <c r="D106" i="36"/>
  <c r="E105" i="36"/>
  <c r="D105" i="36"/>
  <c r="D107" i="36"/>
  <c r="D110" i="36"/>
  <c r="D104" i="36"/>
  <c r="D103" i="36"/>
  <c r="N113" i="36" l="1"/>
  <c r="N115" i="36"/>
  <c r="F102" i="36" l="1"/>
  <c r="D102" i="36"/>
  <c r="G101" i="36"/>
  <c r="F101" i="36"/>
  <c r="E101" i="36"/>
  <c r="D101" i="36"/>
  <c r="E100" i="36"/>
  <c r="D100" i="36"/>
  <c r="E99" i="36"/>
  <c r="D99" i="36"/>
  <c r="G98" i="36"/>
  <c r="F98" i="36"/>
  <c r="E98" i="36"/>
  <c r="D98" i="36"/>
  <c r="E97" i="36"/>
  <c r="D97" i="36"/>
  <c r="E96" i="36"/>
  <c r="D96" i="36"/>
  <c r="F95" i="36"/>
  <c r="E95" i="36"/>
  <c r="D95" i="36"/>
  <c r="F94" i="36"/>
  <c r="E94" i="36"/>
  <c r="D94" i="36"/>
  <c r="D93" i="36"/>
  <c r="F92" i="36"/>
  <c r="E92" i="36"/>
  <c r="D92" i="36"/>
  <c r="E91" i="36"/>
  <c r="D91" i="36"/>
  <c r="D90" i="36"/>
  <c r="F89" i="36"/>
  <c r="F87" i="36"/>
  <c r="E89" i="36"/>
  <c r="D89" i="36"/>
  <c r="E87" i="36"/>
  <c r="D88" i="36"/>
  <c r="D87" i="36"/>
  <c r="D86" i="36"/>
  <c r="N102" i="36" l="1"/>
  <c r="N89" i="36"/>
  <c r="N97" i="36"/>
  <c r="E85" i="36"/>
  <c r="D85" i="36" l="1"/>
  <c r="E84" i="36"/>
  <c r="D84" i="36"/>
  <c r="E83" i="36"/>
  <c r="D83" i="36"/>
  <c r="G81" i="36"/>
  <c r="F81" i="36"/>
  <c r="E81" i="36"/>
  <c r="D81" i="36"/>
  <c r="F80" i="36"/>
  <c r="E80" i="36"/>
  <c r="D80" i="36"/>
  <c r="E82" i="36"/>
  <c r="D82" i="36"/>
  <c r="D79" i="36"/>
  <c r="F78" i="36"/>
  <c r="E78" i="36"/>
  <c r="D78" i="36"/>
  <c r="E77" i="36"/>
  <c r="D77" i="36"/>
  <c r="E76" i="36"/>
  <c r="D76" i="36"/>
  <c r="E75" i="36"/>
  <c r="D75" i="36"/>
  <c r="E74" i="36"/>
  <c r="D74" i="36"/>
  <c r="E73" i="36"/>
  <c r="D73" i="36"/>
  <c r="G74" i="36" l="1"/>
  <c r="F75" i="36"/>
  <c r="F76" i="36"/>
  <c r="F77" i="36"/>
  <c r="G77" i="36"/>
  <c r="E79" i="36"/>
  <c r="F84" i="36"/>
  <c r="G87" i="36"/>
  <c r="H87" i="36"/>
  <c r="E88" i="36"/>
  <c r="H90" i="36"/>
  <c r="G91" i="36"/>
  <c r="E93" i="36"/>
  <c r="F93" i="36"/>
  <c r="H99" i="36"/>
  <c r="E103" i="36"/>
  <c r="F103" i="36"/>
  <c r="G103" i="36"/>
  <c r="E104" i="36"/>
  <c r="F104" i="36"/>
  <c r="G104" i="36"/>
  <c r="F107" i="36"/>
  <c r="H107" i="36"/>
  <c r="F108" i="36"/>
  <c r="F109" i="36"/>
  <c r="H109" i="36"/>
  <c r="E110" i="36"/>
  <c r="G114" i="36"/>
  <c r="R69" i="36" l="1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R43" i="36"/>
  <c r="R42" i="36"/>
  <c r="R41" i="36"/>
  <c r="R40" i="36"/>
  <c r="R39" i="36"/>
  <c r="R38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R23" i="36"/>
  <c r="R22" i="36"/>
  <c r="R21" i="36"/>
  <c r="R20" i="36"/>
  <c r="R19" i="36"/>
  <c r="R18" i="36"/>
  <c r="R17" i="36"/>
  <c r="R16" i="36"/>
  <c r="R15" i="36"/>
  <c r="R14" i="36"/>
  <c r="R13" i="36"/>
  <c r="R12" i="36"/>
  <c r="R11" i="36"/>
  <c r="R10" i="36"/>
  <c r="R9" i="36"/>
  <c r="R8" i="36"/>
  <c r="R7" i="36"/>
  <c r="R6" i="36"/>
  <c r="R5" i="36"/>
  <c r="R4" i="36"/>
  <c r="B69" i="36" l="1"/>
  <c r="B67" i="36"/>
  <c r="B68" i="36"/>
  <c r="B62" i="36"/>
  <c r="B63" i="36"/>
  <c r="B64" i="36"/>
  <c r="B65" i="36"/>
  <c r="B66" i="36"/>
  <c r="B61" i="36"/>
  <c r="B60" i="36"/>
  <c r="B59" i="36"/>
  <c r="B58" i="36"/>
  <c r="B57" i="36"/>
  <c r="B56" i="36"/>
  <c r="B55" i="36"/>
  <c r="B54" i="36"/>
  <c r="B53" i="36"/>
  <c r="B52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28" i="33" l="1"/>
  <c r="B27" i="33"/>
  <c r="B26" i="33"/>
  <c r="B25" i="33"/>
  <c r="B24" i="33"/>
  <c r="N79" i="36" l="1"/>
  <c r="N110" i="36"/>
  <c r="N109" i="36"/>
  <c r="N75" i="36"/>
  <c r="N107" i="36"/>
  <c r="N106" i="36"/>
  <c r="N84" i="36"/>
  <c r="N82" i="36"/>
  <c r="N83" i="36"/>
  <c r="N78" i="36"/>
  <c r="N76" i="36"/>
  <c r="N73" i="36"/>
  <c r="N114" i="36" l="1"/>
  <c r="N99" i="36"/>
  <c r="N92" i="36"/>
  <c r="N74" i="36"/>
  <c r="N108" i="36" l="1"/>
  <c r="N86" i="36"/>
  <c r="N91" i="36"/>
  <c r="N98" i="36"/>
  <c r="N85" i="36"/>
  <c r="N101" i="36" l="1"/>
  <c r="N100" i="36"/>
  <c r="N112" i="36" l="1"/>
  <c r="N96" i="36" l="1"/>
  <c r="N93" i="36"/>
  <c r="N104" i="36"/>
  <c r="N81" i="36" l="1"/>
  <c r="N80" i="36"/>
  <c r="N77" i="36" l="1"/>
  <c r="N103" i="36"/>
  <c r="N105" i="36" l="1"/>
  <c r="N95" i="36"/>
  <c r="N94" i="36"/>
  <c r="N88" i="36" l="1"/>
  <c r="F22" i="33" l="1"/>
  <c r="N111" i="36" l="1"/>
  <c r="N90" i="36"/>
  <c r="N87" i="36"/>
</calcChain>
</file>

<file path=xl/sharedStrings.xml><?xml version="1.0" encoding="utf-8"?>
<sst xmlns="http://schemas.openxmlformats.org/spreadsheetml/2006/main" count="903" uniqueCount="258">
  <si>
    <t>Session-I</t>
  </si>
  <si>
    <t>Session-II</t>
  </si>
  <si>
    <t>Session-III</t>
  </si>
  <si>
    <t>Session-IV</t>
  </si>
  <si>
    <t>Session-V</t>
  </si>
  <si>
    <t>Date</t>
  </si>
  <si>
    <t>Day</t>
  </si>
  <si>
    <t>Session-VI</t>
  </si>
  <si>
    <t>Session-VII</t>
  </si>
  <si>
    <t>Session-VIII</t>
  </si>
  <si>
    <t>SCM(A)</t>
  </si>
  <si>
    <t>SCM(B)</t>
  </si>
  <si>
    <t>End Term Examination</t>
  </si>
  <si>
    <t>INB</t>
  </si>
  <si>
    <t>SMKT</t>
  </si>
  <si>
    <t>PDBE</t>
  </si>
  <si>
    <t>B2B(A)</t>
  </si>
  <si>
    <t>B2B(B)</t>
  </si>
  <si>
    <t>Sl. No.</t>
  </si>
  <si>
    <t>Course
Code</t>
  </si>
  <si>
    <t>Abbre.</t>
  </si>
  <si>
    <t>Name of the Course</t>
  </si>
  <si>
    <t>Area</t>
  </si>
  <si>
    <t>Credit
Hours</t>
  </si>
  <si>
    <t>Name of the Faculty</t>
  </si>
  <si>
    <t>Class
Room</t>
  </si>
  <si>
    <t>Division</t>
  </si>
  <si>
    <t>Student
Strength</t>
  </si>
  <si>
    <t>Eco. &amp; Fin.</t>
  </si>
  <si>
    <t>VALU</t>
  </si>
  <si>
    <t>Valuation</t>
  </si>
  <si>
    <t>B2B</t>
  </si>
  <si>
    <t>Business-to-Business Marketing</t>
  </si>
  <si>
    <t>Marketing</t>
  </si>
  <si>
    <t>Services Marketing</t>
  </si>
  <si>
    <t>OB &amp; Comm.</t>
  </si>
  <si>
    <t>Total Credit</t>
  </si>
  <si>
    <t>DM</t>
  </si>
  <si>
    <t>DM(A)</t>
  </si>
  <si>
    <t>DM(B)</t>
  </si>
  <si>
    <t>Guru Nanak Jayanti - (Holiday)</t>
  </si>
  <si>
    <t>Christmas - (Holiday)</t>
  </si>
  <si>
    <t>DRM</t>
  </si>
  <si>
    <t>DC</t>
  </si>
  <si>
    <t>Digital Consulting</t>
  </si>
  <si>
    <t>Session-IX</t>
  </si>
  <si>
    <t>AN</t>
  </si>
  <si>
    <t>Art of Negotiation</t>
  </si>
  <si>
    <t>ML&amp;AI</t>
  </si>
  <si>
    <t>05.00PM to 
06.00PM</t>
  </si>
  <si>
    <t>Session-X</t>
  </si>
  <si>
    <t>Session-XI</t>
  </si>
  <si>
    <t>VALU(A)</t>
  </si>
  <si>
    <t>VALU(B)</t>
  </si>
  <si>
    <t>PDBE(B)</t>
  </si>
  <si>
    <t>PDBE(A)</t>
  </si>
  <si>
    <t xml:space="preserve">Digital Marketing </t>
  </si>
  <si>
    <t>Personality Development and Business Etiquette</t>
  </si>
  <si>
    <t>LSS</t>
  </si>
  <si>
    <t>SCM</t>
  </si>
  <si>
    <t>DnA</t>
  </si>
  <si>
    <t>OM</t>
  </si>
  <si>
    <t>08.30PM to 
09.30PM</t>
  </si>
  <si>
    <t>DRM(A)</t>
  </si>
  <si>
    <t>DRM(B)</t>
  </si>
  <si>
    <t>INB(A)</t>
  </si>
  <si>
    <t>INB(B)</t>
  </si>
  <si>
    <t>Prof. Nina Muncherji 
(Div A &amp; B)</t>
  </si>
  <si>
    <t>Session-IV-A</t>
  </si>
  <si>
    <t>Prof. Nitin Pillai</t>
  </si>
  <si>
    <t>7MP129SE22</t>
  </si>
  <si>
    <t>2
2</t>
  </si>
  <si>
    <t>7MP103SE22</t>
  </si>
  <si>
    <t>7MP118SE22</t>
  </si>
  <si>
    <t>7MP302SE22</t>
  </si>
  <si>
    <t>1
1</t>
  </si>
  <si>
    <t>7MP323SE22</t>
  </si>
  <si>
    <t>7MP308SE22</t>
  </si>
  <si>
    <t>7MP507NE22</t>
  </si>
  <si>
    <t>7MP501NE22</t>
  </si>
  <si>
    <t>7MP720SE22</t>
  </si>
  <si>
    <t>TEOM</t>
  </si>
  <si>
    <t>7MP707SE24</t>
  </si>
  <si>
    <t>Data Visualisation &amp; Visual Storytelling</t>
  </si>
  <si>
    <t>7MP708SE22</t>
  </si>
  <si>
    <t>2
1</t>
  </si>
  <si>
    <t>7MP714SE22</t>
  </si>
  <si>
    <t>7MP201SE22</t>
  </si>
  <si>
    <t>DADM</t>
  </si>
  <si>
    <t>Technology Enabled Operations Management* IMBA</t>
  </si>
  <si>
    <t>Data Analytics &amp; Data Mining* IMBA</t>
  </si>
  <si>
    <t>Prof. Mahesh K C</t>
  </si>
  <si>
    <t>7MP206SE22</t>
  </si>
  <si>
    <t>Lean Six Sigma* IMBA</t>
  </si>
  <si>
    <t>7MP213SE22</t>
  </si>
  <si>
    <t>Supply Chain Management * IMBA</t>
  </si>
  <si>
    <t>7MP208SE22</t>
  </si>
  <si>
    <t>OMSD</t>
  </si>
  <si>
    <t>7MP603NE22</t>
  </si>
  <si>
    <t>CSE</t>
  </si>
  <si>
    <t>Case Study of Entrepreneurs</t>
  </si>
  <si>
    <t>Eco. &amp; SME</t>
  </si>
  <si>
    <t>Prof. Shahir Bhatt</t>
  </si>
  <si>
    <t>DV&amp;VS(A)</t>
  </si>
  <si>
    <t>DV&amp;VS(B)</t>
  </si>
  <si>
    <t>OM&amp;SD</t>
  </si>
  <si>
    <t>Prof. Rajesh Jain (Div. A &amp; B)</t>
  </si>
  <si>
    <t>VALU(C)</t>
  </si>
  <si>
    <t>SMKT(A)</t>
  </si>
  <si>
    <t>SMKT(B)</t>
  </si>
  <si>
    <t>VALU(D)</t>
  </si>
  <si>
    <t>TEOM(A)</t>
  </si>
  <si>
    <t>TEOM(B)</t>
  </si>
  <si>
    <t>DV&amp;VS</t>
  </si>
  <si>
    <t>ML&amp;AI (A)</t>
  </si>
  <si>
    <t>ML&amp;AI (B)</t>
  </si>
  <si>
    <t>LSS (A)</t>
  </si>
  <si>
    <t>T6</t>
  </si>
  <si>
    <t>LSS (B)</t>
  </si>
  <si>
    <t>Faculty Email id</t>
  </si>
  <si>
    <t>mcgupta@nirmauni.ac.in,
mcguptacs@gmail.com</t>
  </si>
  <si>
    <t>Course coordinator</t>
  </si>
  <si>
    <t>Prof. Dipti Saraf</t>
  </si>
  <si>
    <t>Prof. Bhavesh Patel</t>
  </si>
  <si>
    <t>Prof. Sanjay Jain</t>
  </si>
  <si>
    <t>Prof. Nina Muncherji</t>
  </si>
  <si>
    <t>Prof. Somayya Madakam</t>
  </si>
  <si>
    <t>Prof. Sandip Trada</t>
  </si>
  <si>
    <t>Prof. Himanshu Chauhan</t>
  </si>
  <si>
    <t>nmuncherji@nirmauni.ac.in</t>
  </si>
  <si>
    <t>nitin.pillai@nirmauni.ac.in</t>
  </si>
  <si>
    <t>Prof. Omakar Sahoo</t>
  </si>
  <si>
    <t>Prof. Rajesh Jain</t>
  </si>
  <si>
    <t>Prof. Praneti Shah</t>
  </si>
  <si>
    <t>Prof. Dinesh Panchal</t>
  </si>
  <si>
    <t>maheshkc@nirmauni.ac.in</t>
  </si>
  <si>
    <t>rajeshjain@nirmauni.ac.in</t>
  </si>
  <si>
    <t>praneti@nirmauni.ac.in</t>
  </si>
  <si>
    <t>dinesh.panchal@nirmauni.ac.in,
abraju@nirmauni.ac.in,
abrteach@gmail.com</t>
  </si>
  <si>
    <t>shahir@nirmauni.ac.in</t>
  </si>
  <si>
    <t>CCA&amp;U</t>
  </si>
  <si>
    <t>Prof. Lalit Arora (Div. A &amp;B)</t>
  </si>
  <si>
    <t>dipti.saraf@nirmauni.ac.in</t>
  </si>
  <si>
    <t>Prof. M C Gupta (VF) (Div. A  B  &amp; C)</t>
  </si>
  <si>
    <t>Investment Banking* IMBA</t>
  </si>
  <si>
    <t>7MP313SE22</t>
  </si>
  <si>
    <t>IMC</t>
  </si>
  <si>
    <t>Integrated Marketing Communication</t>
  </si>
  <si>
    <t>1
2</t>
  </si>
  <si>
    <t>Prof. Shailesh Prabhu (Div A &amp;B)</t>
  </si>
  <si>
    <t>2
1
1</t>
  </si>
  <si>
    <t>Prof. Omakar Sahoo (Div. A&amp;B)</t>
  </si>
  <si>
    <t>Machine Learning &amp; Artificial Intelligence* IMBA</t>
  </si>
  <si>
    <t>Prof. Praneti Shah (Div. A ,B &amp; C)</t>
  </si>
  <si>
    <t>Business Simulation</t>
  </si>
  <si>
    <t>7MP602NE22</t>
  </si>
  <si>
    <t>BS</t>
  </si>
  <si>
    <t>Prof. Satish Nair</t>
  </si>
  <si>
    <t>7MP131SE25</t>
  </si>
  <si>
    <t>Prof. Himanshu Chauhan (Div. A)
Prof. Kavita Saxena (VF) (Div. B)</t>
  </si>
  <si>
    <t>Prof. Nitin Pillai (Div. A &amp; B)</t>
  </si>
  <si>
    <t>Operations Management in Services and Distribution</t>
  </si>
  <si>
    <t>Prof. Bhavesh Patel (Div. A &amp; B)
Prof. Pankaj Agrawal (Div. C)</t>
  </si>
  <si>
    <t>Prof. Sandip Trada (Div A) 
Prof. Rupam Deb (Div B &amp; Div C)</t>
  </si>
  <si>
    <t>Prof. Somayya Madakam (Div. A &amp; B)
Prof. Anand Kumar (Div. C &amp; Div. D)</t>
  </si>
  <si>
    <t>Prof. Sapan Oza (VF) (Div. A)</t>
  </si>
  <si>
    <t>Prof. Dinesh Panchal &amp; Prof.  A. B. Raju (VF)</t>
  </si>
  <si>
    <t>143+
105</t>
  </si>
  <si>
    <t>137+
70</t>
  </si>
  <si>
    <t>140+</t>
  </si>
  <si>
    <t>Prof. Sanjay Jain (Div. A)
Prof. Riddhi Ambavale(VF) (Div. B)</t>
  </si>
  <si>
    <t>DRM(A)/DRM('C)</t>
  </si>
  <si>
    <t>INB(A)/SCM(B)/PDBE(B)</t>
  </si>
  <si>
    <t>INB(B)/SCM('C)/PDBE(A)</t>
  </si>
  <si>
    <t>INB('C)/SCM(A)/DRM(B)</t>
  </si>
  <si>
    <t>B2B(A)/B2B('C)/AN(A)/TEOM(B)</t>
  </si>
  <si>
    <t>B2B(B)/AN(B)</t>
  </si>
  <si>
    <t>TEOM(A)/CSE/DV&amp;VS(B)/DV&amp;VS('C)</t>
  </si>
  <si>
    <t>DV&amp;VS(B)/DV&amp;VS('C)/DM(B)</t>
  </si>
  <si>
    <t>DADM/SMKT(B)/SMKT(A)</t>
  </si>
  <si>
    <t>CC&amp;AU(B)/ML&amp;AI(A)/LSS(B)</t>
  </si>
  <si>
    <t>LSS(A)/BS</t>
  </si>
  <si>
    <t>VALU(B)/VALU(D)</t>
  </si>
  <si>
    <t>DV&amp;VS(A)/DV&amp;VS(D)</t>
  </si>
  <si>
    <t>IMC(B)</t>
  </si>
  <si>
    <t xml:space="preserve">Derivative and Risk Management </t>
  </si>
  <si>
    <t>Commercial Credit Analysis &amp; Underwriting* IMBA</t>
  </si>
  <si>
    <t>7MP201SE22Data Analytics &amp; Data Mining</t>
  </si>
  <si>
    <t>08.00AM to
09.00AM</t>
  </si>
  <si>
    <t>09.10AM to 
10.10AM</t>
  </si>
  <si>
    <t>10.20AM to 
11.20PM</t>
  </si>
  <si>
    <t>11.30AM to 
12.30PM</t>
  </si>
  <si>
    <t>1.30PM to
02.30PM</t>
  </si>
  <si>
    <t>02.40PM to
03.40PM</t>
  </si>
  <si>
    <t>03.50PM to 
04.50PM</t>
  </si>
  <si>
    <t>06.10PM to 
07.10PM</t>
  </si>
  <si>
    <t>07.20PM to 
08.20PM</t>
  </si>
  <si>
    <t>CC&amp;AU(A)/ML&amp;AI(B)/IMC(A)</t>
  </si>
  <si>
    <t>TEOM(A)/CSE</t>
  </si>
  <si>
    <t>12:30PM to 01:30PM</t>
  </si>
  <si>
    <t>Holiday</t>
  </si>
  <si>
    <t>Commencement of Classes - Term-VI (January 05, 2026)</t>
  </si>
  <si>
    <t xml:space="preserve">Prof. P. Ganesh  (Div. A &amp; B)
</t>
  </si>
  <si>
    <t>VALU(A)/VALU('C)</t>
  </si>
  <si>
    <t>Prof. Dimple Bhojwani  (Div. C &amp; D)(VF)
Prof. Dipti Saraf (A &amp; B)</t>
  </si>
  <si>
    <t>Prof. Lalit Arora</t>
  </si>
  <si>
    <t>Prof. Shailesh Prabhu</t>
  </si>
  <si>
    <t>Prof. Aishwarya Mitra</t>
  </si>
  <si>
    <t>T6
T5</t>
  </si>
  <si>
    <t>T7</t>
  </si>
  <si>
    <t>T3</t>
  </si>
  <si>
    <t>T5</t>
  </si>
  <si>
    <t>E3
T5</t>
  </si>
  <si>
    <t>VALU('C)</t>
  </si>
  <si>
    <t>Commencement of Classes - Term-V (September 29, 2025)</t>
  </si>
  <si>
    <t>bhavesh@nirmauni.ac.in,
pankaj.agrawal@nirmauni.ac.in</t>
  </si>
  <si>
    <t>lalit.arora@nirmauni.ac.in</t>
  </si>
  <si>
    <t>sanjayjain@nirmauni.ac.in,
riddhi.ambavale_vf@nirmauni.ac.in,riddhi.ambavale@gmail.com</t>
  </si>
  <si>
    <t>sandip@nirmauni.ac.in,
rupam.deb@nirmauni.ac.in</t>
  </si>
  <si>
    <t>himanshuchauhan@nirmauni.ac.in,
kavita.saxena_vf@nirmauni.ac.in,
imkavita@gmail.com</t>
  </si>
  <si>
    <t>shailesh.prabhu@nirmauni.ac.in</t>
  </si>
  <si>
    <t>pganesh.edi@gmail.com,
pganesh@nirmauni.ac.in</t>
  </si>
  <si>
    <t>somayya.madakam@nirmauni.ac.in, anand.kumar@nirmauni.ac.in</t>
  </si>
  <si>
    <t>sapan.oza@tcs.com,</t>
  </si>
  <si>
    <t>omkar.sahoo@nirmauni.ac.in,</t>
  </si>
  <si>
    <t>Satish@nirmauni.ac.in</t>
  </si>
  <si>
    <t>Commencement of OH Classes - Term-V (September 29, 2025)</t>
  </si>
  <si>
    <t>DRM(B)/B2B(A)/B2B('C)/AN(A)/CSE</t>
  </si>
  <si>
    <t>SCM(A)/DRM(B)/PDBE(A)/SCM('C)/PDBE(B)/SCM(B)/PDBE(B)//DV&amp;VS(B)/DV&amp;VS('C)</t>
  </si>
  <si>
    <t>/DV&amp;VS(B)/DV&amp;VS('C)/DM(B)</t>
  </si>
  <si>
    <t>B2B(B)/AN(B)/DRM(A)/DRM('C)</t>
  </si>
  <si>
    <t>DADM/SMKT(A)</t>
  </si>
  <si>
    <t>CC&amp;AU(B)/ML&amp;AI(A)/LSS(B)/BS</t>
  </si>
  <si>
    <t>CC&amp;AU(A)/ML&amp;AI(B)/IMC(A)/VALU(A)</t>
  </si>
  <si>
    <t>LSS(A)/BS/VALU(B)</t>
  </si>
  <si>
    <t>DRM('C)</t>
  </si>
  <si>
    <t>INB('C)</t>
  </si>
  <si>
    <t>CC&amp;AU(A)</t>
  </si>
  <si>
    <t>CC&amp;AU(B)</t>
  </si>
  <si>
    <t>IMC(A)</t>
  </si>
  <si>
    <t>B2B('C)</t>
  </si>
  <si>
    <t>AN(A)</t>
  </si>
  <si>
    <t>AN(B)</t>
  </si>
  <si>
    <t>DV&amp;VS(C)</t>
  </si>
  <si>
    <t>DV&amp;VS(D)</t>
  </si>
  <si>
    <t>SCM('C)</t>
  </si>
  <si>
    <t>TEOM(A)/DV&amp;VS(B)/DV&amp;VS('C)</t>
  </si>
  <si>
    <t>IMC(A)/IMC(B)</t>
  </si>
  <si>
    <t>CC&amp;AU(A)/ML&amp;AI(B)</t>
  </si>
  <si>
    <t>Prof. Anand Kumar</t>
  </si>
  <si>
    <t>DV&amp;VS(B)/DV&amp;VS('C)</t>
  </si>
  <si>
    <t>SMKT(A)/SMKT(B)</t>
  </si>
  <si>
    <t>TEOM(A)/CSE/DV&amp;VS('C)</t>
  </si>
  <si>
    <t>DV&amp;VS('C)/DM(B)</t>
  </si>
  <si>
    <t>VALU(A)/VALU('C)/BS</t>
  </si>
  <si>
    <t>T3
T7</t>
  </si>
  <si>
    <t>T5
E2</t>
  </si>
  <si>
    <t>VALU(A)/VALU(B)/VALU('C)/VALU(D)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</si>
</sst>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5" fillId="0" borderId="0"/>
    <xf numFmtId="0" fontId="5" fillId="0" borderId="0"/>
    <xf numFmtId="0" fontId="9" fillId="0" borderId="0"/>
    <xf numFmtId="0" fontId="14" fillId="0" borderId="0">
      <alignment vertical="center"/>
    </xf>
    <xf numFmtId="0" fontId="15" fillId="0" borderId="0"/>
    <xf numFmtId="0" fontId="2" fillId="0" borderId="0"/>
    <xf numFmtId="0" fontId="17" fillId="0" borderId="0"/>
    <xf numFmtId="0" fontId="18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1" fillId="2" borderId="10" xfId="0" applyFont="1" applyFill="1" applyBorder="1" applyAlignment="1">
      <alignment horizontal="center" vertical="center"/>
    </xf>
    <xf numFmtId="0" fontId="12" fillId="2" borderId="0" xfId="3" applyFont="1" applyFill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6" fillId="0" borderId="1" xfId="4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vertical="center" wrapText="1"/>
    </xf>
    <xf numFmtId="164" fontId="7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left" vertical="center" wrapText="1"/>
    </xf>
    <xf numFmtId="0" fontId="11" fillId="2" borderId="15" xfId="3" applyFont="1" applyFill="1" applyBorder="1" applyAlignment="1">
      <alignment horizontal="center" vertical="center" wrapText="1"/>
    </xf>
    <xf numFmtId="0" fontId="12" fillId="2" borderId="2" xfId="3" applyFont="1" applyFill="1" applyBorder="1" applyAlignment="1">
      <alignment vertical="center" wrapText="1"/>
    </xf>
    <xf numFmtId="0" fontId="18" fillId="2" borderId="1" xfId="9" applyFill="1" applyBorder="1" applyAlignment="1">
      <alignment horizontal="center" vertical="center" wrapText="1"/>
    </xf>
    <xf numFmtId="0" fontId="12" fillId="2" borderId="9" xfId="3" applyFont="1" applyFill="1" applyBorder="1" applyAlignment="1">
      <alignment horizontal="center" vertical="center" wrapText="1"/>
    </xf>
    <xf numFmtId="0" fontId="12" fillId="2" borderId="3" xfId="3" applyFont="1" applyFill="1" applyBorder="1" applyAlignment="1">
      <alignment horizontal="center" vertical="center" wrapText="1"/>
    </xf>
    <xf numFmtId="0" fontId="12" fillId="2" borderId="2" xfId="3" applyFont="1" applyFill="1" applyBorder="1" applyAlignment="1">
      <alignment horizontal="center" vertical="center" wrapText="1"/>
    </xf>
    <xf numFmtId="0" fontId="11" fillId="2" borderId="10" xfId="3" applyFont="1" applyFill="1" applyBorder="1" applyAlignment="1">
      <alignment horizontal="center" vertical="center" wrapText="1"/>
    </xf>
    <xf numFmtId="0" fontId="8" fillId="0" borderId="16" xfId="3" applyFont="1" applyBorder="1" applyAlignment="1">
      <alignment horizontal="center" vertical="center" wrapText="1"/>
    </xf>
    <xf numFmtId="0" fontId="12" fillId="2" borderId="9" xfId="3" applyFont="1" applyFill="1" applyBorder="1" applyAlignment="1">
      <alignment vertical="center" wrapText="1"/>
    </xf>
    <xf numFmtId="0" fontId="12" fillId="2" borderId="3" xfId="3" applyFont="1" applyFill="1" applyBorder="1" applyAlignment="1">
      <alignment vertical="center" wrapText="1"/>
    </xf>
    <xf numFmtId="0" fontId="11" fillId="3" borderId="1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 vertical="center" wrapText="1"/>
    </xf>
    <xf numFmtId="0" fontId="12" fillId="2" borderId="13" xfId="3" applyFont="1" applyFill="1" applyBorder="1" applyAlignment="1">
      <alignment horizontal="center" vertical="center" wrapText="1"/>
    </xf>
    <xf numFmtId="0" fontId="12" fillId="2" borderId="14" xfId="3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5" xfId="3" applyFont="1" applyFill="1" applyBorder="1" applyAlignment="1">
      <alignment horizontal="center" vertical="center" wrapText="1"/>
    </xf>
    <xf numFmtId="0" fontId="12" fillId="2" borderId="4" xfId="3" applyFont="1" applyFill="1" applyBorder="1" applyAlignment="1">
      <alignment horizontal="center" vertical="center" wrapText="1"/>
    </xf>
    <xf numFmtId="0" fontId="12" fillId="2" borderId="6" xfId="3" applyFont="1" applyFill="1" applyBorder="1" applyAlignment="1">
      <alignment horizontal="center" vertical="center" wrapText="1"/>
    </xf>
    <xf numFmtId="0" fontId="12" fillId="2" borderId="7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 vertical="center" wrapText="1"/>
    </xf>
    <xf numFmtId="0" fontId="12" fillId="2" borderId="8" xfId="3" applyFont="1" applyFill="1" applyBorder="1" applyAlignment="1">
      <alignment horizontal="center" vertical="center" wrapText="1"/>
    </xf>
    <xf numFmtId="0" fontId="12" fillId="2" borderId="9" xfId="3" applyFont="1" applyFill="1" applyBorder="1" applyAlignment="1">
      <alignment horizontal="center" vertical="center" wrapText="1"/>
    </xf>
    <xf numFmtId="0" fontId="12" fillId="2" borderId="3" xfId="3" applyFont="1" applyFill="1" applyBorder="1" applyAlignment="1">
      <alignment horizontal="center" vertical="center" wrapText="1"/>
    </xf>
    <xf numFmtId="0" fontId="12" fillId="2" borderId="2" xfId="3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</cellXfs>
  <cellStyles count="11">
    <cellStyle name="Hyperlink" xfId="9" builtinId="8"/>
    <cellStyle name="Normal" xfId="0" builtinId="0"/>
    <cellStyle name="Normal 2" xfId="1" xr:uid="{00000000-0005-0000-0000-000001000000}"/>
    <cellStyle name="Normal 2 2" xfId="3" xr:uid="{00000000-0005-0000-0000-000002000000}"/>
    <cellStyle name="Normal 2 2 2" xfId="10" xr:uid="{BE04DA38-2FFB-474A-8CB8-3F1619B91593}"/>
    <cellStyle name="Normal 2_Class Schedule-Term-I" xfId="2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679AB6A7-789D-4E96-A2A7-8DE86512F235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5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aadmin\C\WINDOWS\Temporary%20Internet%20Files\Content.IE5\C967KH6Z\Data\Grade%20(FT)%20(FB)%20(PT)\Graduate%20Batch\FT\2006-08%20(FT)\Term%20-%20IV\Final%20Grade\SPM%20%20-%20Final%20Grade%20(FT)%20(06-0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ge"/>
      <sheetName val="Final Grade"/>
    </sheetNames>
    <sheetDataSet>
      <sheetData sheetId="0">
        <row r="3">
          <cell r="C3">
            <v>0</v>
          </cell>
          <cell r="D3">
            <v>0</v>
          </cell>
        </row>
        <row r="4">
          <cell r="C4" t="str">
            <v>F</v>
          </cell>
          <cell r="D4">
            <v>0</v>
          </cell>
        </row>
        <row r="5">
          <cell r="C5" t="str">
            <v>D-</v>
          </cell>
          <cell r="D5">
            <v>0.66700000000000004</v>
          </cell>
        </row>
        <row r="6">
          <cell r="C6" t="str">
            <v>D</v>
          </cell>
          <cell r="D6">
            <v>1</v>
          </cell>
        </row>
        <row r="7">
          <cell r="C7" t="str">
            <v>D+</v>
          </cell>
          <cell r="D7">
            <v>1.333</v>
          </cell>
        </row>
        <row r="8">
          <cell r="C8" t="str">
            <v>C-</v>
          </cell>
          <cell r="D8">
            <v>1.667</v>
          </cell>
        </row>
        <row r="9">
          <cell r="C9" t="str">
            <v>C</v>
          </cell>
          <cell r="D9">
            <v>2</v>
          </cell>
        </row>
        <row r="10">
          <cell r="C10" t="str">
            <v>C+</v>
          </cell>
          <cell r="D10">
            <v>2.3330000000000002</v>
          </cell>
        </row>
        <row r="11">
          <cell r="C11" t="str">
            <v>B-</v>
          </cell>
          <cell r="D11">
            <v>2.6669999999999998</v>
          </cell>
        </row>
        <row r="12">
          <cell r="C12" t="str">
            <v>B</v>
          </cell>
          <cell r="D12">
            <v>3</v>
          </cell>
        </row>
        <row r="13">
          <cell r="C13" t="str">
            <v>B+</v>
          </cell>
          <cell r="D13">
            <v>3.3330000000000002</v>
          </cell>
        </row>
        <row r="14">
          <cell r="C14" t="str">
            <v>A-</v>
          </cell>
          <cell r="D14">
            <v>3.6669999999999998</v>
          </cell>
        </row>
        <row r="15">
          <cell r="C15" t="str">
            <v>A</v>
          </cell>
          <cell r="D15">
            <v>4</v>
          </cell>
        </row>
        <row r="16">
          <cell r="C16" t="str">
            <v>A+</v>
          </cell>
          <cell r="D16">
            <v>4.3330000000000002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andip@nirmauni.ac.in," TargetMode="External"/><Relationship Id="rId7" Type="http://schemas.openxmlformats.org/officeDocument/2006/relationships/hyperlink" Target="mailto:Satish@nirmauni.ac.in" TargetMode="External"/><Relationship Id="rId2" Type="http://schemas.openxmlformats.org/officeDocument/2006/relationships/hyperlink" Target="mailto:dipti.saraf@nirmauni.ac.in" TargetMode="External"/><Relationship Id="rId1" Type="http://schemas.openxmlformats.org/officeDocument/2006/relationships/hyperlink" Target="mailto:himanshuchauhan@nirmauni.ac.in," TargetMode="External"/><Relationship Id="rId6" Type="http://schemas.openxmlformats.org/officeDocument/2006/relationships/hyperlink" Target="mailto:omkar.sahoo@nirmauni.ac.in," TargetMode="External"/><Relationship Id="rId5" Type="http://schemas.openxmlformats.org/officeDocument/2006/relationships/hyperlink" Target="mailto:sapan.oza@tcs.com," TargetMode="External"/><Relationship Id="rId4" Type="http://schemas.openxmlformats.org/officeDocument/2006/relationships/hyperlink" Target="mailto:pganesh.edi@gmail.com,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I29"/>
  <sheetViews>
    <sheetView view="pageBreakPreview" topLeftCell="A7" zoomScale="80" zoomScaleNormal="81" zoomScaleSheetLayoutView="80" workbookViewId="0">
      <selection activeCell="A3" sqref="A3"/>
    </sheetView>
  </sheetViews>
  <sheetFormatPr defaultColWidth="9.1328125" defaultRowHeight="20.100000000000001" customHeight="1" x14ac:dyDescent="0.35"/>
  <cols>
    <col min="1" max="1" width="6.265625" style="1" customWidth="1"/>
    <col min="2" max="2" width="15.1328125" style="1" bestFit="1" customWidth="1"/>
    <col min="3" max="3" width="10.59765625" style="1" customWidth="1"/>
    <col min="4" max="4" width="44.86328125" style="13" customWidth="1"/>
    <col min="5" max="5" width="14.3984375" style="13" bestFit="1" customWidth="1"/>
    <col min="6" max="6" width="7.86328125" style="13" customWidth="1"/>
    <col min="7" max="7" width="30.265625" style="20" customWidth="1"/>
    <col min="8" max="8" width="6.1328125" style="1" customWidth="1"/>
    <col min="9" max="9" width="8.3984375" style="1" hidden="1" customWidth="1"/>
    <col min="10" max="10" width="9.1328125" style="1" hidden="1" customWidth="1"/>
    <col min="11" max="12" width="35.1328125" style="1" customWidth="1"/>
    <col min="13" max="16384" width="9.1328125" style="13"/>
  </cols>
  <sheetData>
    <row r="1" spans="1:217" ht="25.5" customHeight="1" x14ac:dyDescent="0.35">
      <c r="A1" s="10" t="s">
        <v>18</v>
      </c>
      <c r="B1" s="11" t="s">
        <v>19</v>
      </c>
      <c r="C1" s="10" t="s">
        <v>20</v>
      </c>
      <c r="D1" s="12" t="s">
        <v>21</v>
      </c>
      <c r="E1" s="10" t="s">
        <v>22</v>
      </c>
      <c r="F1" s="11" t="s">
        <v>23</v>
      </c>
      <c r="G1" s="12" t="s">
        <v>24</v>
      </c>
      <c r="H1" s="11" t="s">
        <v>25</v>
      </c>
      <c r="I1" s="11" t="s">
        <v>26</v>
      </c>
      <c r="J1" s="11" t="s">
        <v>27</v>
      </c>
      <c r="K1" s="30" t="s">
        <v>119</v>
      </c>
      <c r="L1" s="30" t="s">
        <v>121</v>
      </c>
    </row>
    <row r="2" spans="1:217" s="23" customFormat="1" ht="47.25" x14ac:dyDescent="0.35">
      <c r="A2" s="16">
        <v>1</v>
      </c>
      <c r="B2" s="16" t="s">
        <v>70</v>
      </c>
      <c r="C2" s="16" t="s">
        <v>29</v>
      </c>
      <c r="D2" s="15" t="s">
        <v>30</v>
      </c>
      <c r="E2" s="14" t="s">
        <v>28</v>
      </c>
      <c r="F2" s="22">
        <v>3</v>
      </c>
      <c r="G2" s="15" t="s">
        <v>204</v>
      </c>
      <c r="H2" s="16" t="s">
        <v>208</v>
      </c>
      <c r="I2" s="16" t="s">
        <v>71</v>
      </c>
      <c r="J2" s="16" t="s">
        <v>167</v>
      </c>
      <c r="K2" s="37" t="s">
        <v>142</v>
      </c>
      <c r="L2" s="16" t="s">
        <v>122</v>
      </c>
    </row>
    <row r="3" spans="1:217" s="23" customFormat="1" ht="31.5" x14ac:dyDescent="0.35">
      <c r="A3" s="16">
        <v>2</v>
      </c>
      <c r="B3" s="14" t="s">
        <v>72</v>
      </c>
      <c r="C3" s="14" t="s">
        <v>42</v>
      </c>
      <c r="D3" s="32" t="s">
        <v>185</v>
      </c>
      <c r="E3" s="14" t="s">
        <v>28</v>
      </c>
      <c r="F3" s="33">
        <v>3</v>
      </c>
      <c r="G3" s="34" t="s">
        <v>162</v>
      </c>
      <c r="H3" s="16" t="s">
        <v>208</v>
      </c>
      <c r="I3" s="16" t="s">
        <v>85</v>
      </c>
      <c r="J3" s="16" t="s">
        <v>168</v>
      </c>
      <c r="K3" s="16" t="s">
        <v>215</v>
      </c>
      <c r="L3" s="16" t="s">
        <v>123</v>
      </c>
    </row>
    <row r="4" spans="1:217" s="23" customFormat="1" ht="31.5" x14ac:dyDescent="0.35">
      <c r="A4" s="16">
        <v>3</v>
      </c>
      <c r="B4" s="16" t="s">
        <v>73</v>
      </c>
      <c r="C4" s="16" t="s">
        <v>13</v>
      </c>
      <c r="D4" s="17" t="s">
        <v>144</v>
      </c>
      <c r="E4" s="14" t="s">
        <v>28</v>
      </c>
      <c r="F4" s="22">
        <v>3</v>
      </c>
      <c r="G4" s="15" t="s">
        <v>143</v>
      </c>
      <c r="H4" s="16" t="s">
        <v>209</v>
      </c>
      <c r="I4" s="16">
        <v>3</v>
      </c>
      <c r="J4" s="16" t="s">
        <v>169</v>
      </c>
      <c r="K4" s="16" t="s">
        <v>120</v>
      </c>
      <c r="L4" s="16" t="s">
        <v>207</v>
      </c>
    </row>
    <row r="5" spans="1:217" s="23" customFormat="1" ht="31.5" x14ac:dyDescent="0.35">
      <c r="A5" s="16">
        <v>4</v>
      </c>
      <c r="B5" s="16" t="s">
        <v>158</v>
      </c>
      <c r="C5" s="16" t="s">
        <v>140</v>
      </c>
      <c r="D5" s="17" t="s">
        <v>186</v>
      </c>
      <c r="E5" s="14" t="s">
        <v>28</v>
      </c>
      <c r="F5" s="22">
        <v>3</v>
      </c>
      <c r="G5" s="15" t="s">
        <v>141</v>
      </c>
      <c r="H5" s="16" t="s">
        <v>117</v>
      </c>
      <c r="I5" s="16">
        <v>3</v>
      </c>
      <c r="J5" s="16">
        <v>105</v>
      </c>
      <c r="K5" s="16" t="s">
        <v>216</v>
      </c>
      <c r="L5" s="16" t="s">
        <v>205</v>
      </c>
    </row>
    <row r="6" spans="1:217" s="23" customFormat="1" ht="24.95" customHeight="1" x14ac:dyDescent="0.35">
      <c r="A6" s="16">
        <v>5</v>
      </c>
      <c r="B6" s="16" t="s">
        <v>145</v>
      </c>
      <c r="C6" s="16" t="s">
        <v>146</v>
      </c>
      <c r="D6" s="17" t="s">
        <v>147</v>
      </c>
      <c r="E6" s="16" t="s">
        <v>33</v>
      </c>
      <c r="F6" s="22">
        <v>3</v>
      </c>
      <c r="G6" s="15" t="s">
        <v>170</v>
      </c>
      <c r="H6" s="16" t="s">
        <v>255</v>
      </c>
      <c r="I6" s="16" t="s">
        <v>75</v>
      </c>
      <c r="J6" s="16">
        <v>71</v>
      </c>
      <c r="K6" s="16" t="s">
        <v>217</v>
      </c>
      <c r="L6" s="16" t="s">
        <v>124</v>
      </c>
    </row>
    <row r="7" spans="1:217" s="23" customFormat="1" ht="31.5" x14ac:dyDescent="0.35">
      <c r="A7" s="16">
        <v>6</v>
      </c>
      <c r="B7" s="16" t="s">
        <v>74</v>
      </c>
      <c r="C7" s="16" t="s">
        <v>31</v>
      </c>
      <c r="D7" s="17" t="s">
        <v>32</v>
      </c>
      <c r="E7" s="16" t="s">
        <v>33</v>
      </c>
      <c r="F7" s="22">
        <v>3</v>
      </c>
      <c r="G7" s="15" t="s">
        <v>163</v>
      </c>
      <c r="H7" s="16" t="s">
        <v>256</v>
      </c>
      <c r="I7" s="16" t="s">
        <v>148</v>
      </c>
      <c r="J7" s="16"/>
      <c r="K7" s="37" t="s">
        <v>218</v>
      </c>
      <c r="L7" s="16" t="s">
        <v>127</v>
      </c>
    </row>
    <row r="8" spans="1:217" s="23" customFormat="1" ht="38.25" x14ac:dyDescent="0.35">
      <c r="A8" s="16">
        <v>7</v>
      </c>
      <c r="B8" s="16" t="s">
        <v>76</v>
      </c>
      <c r="C8" s="16" t="s">
        <v>14</v>
      </c>
      <c r="D8" s="17" t="s">
        <v>34</v>
      </c>
      <c r="E8" s="16" t="s">
        <v>33</v>
      </c>
      <c r="F8" s="22">
        <v>3</v>
      </c>
      <c r="G8" s="15" t="s">
        <v>159</v>
      </c>
      <c r="H8" s="16" t="s">
        <v>208</v>
      </c>
      <c r="I8" s="16" t="s">
        <v>75</v>
      </c>
      <c r="J8" s="16"/>
      <c r="K8" s="37" t="s">
        <v>219</v>
      </c>
      <c r="L8" s="16" t="s">
        <v>128</v>
      </c>
    </row>
    <row r="9" spans="1:217" s="23" customFormat="1" ht="15.75" x14ac:dyDescent="0.35">
      <c r="A9" s="16">
        <v>8</v>
      </c>
      <c r="B9" s="16" t="s">
        <v>77</v>
      </c>
      <c r="C9" s="16" t="s">
        <v>37</v>
      </c>
      <c r="D9" s="17" t="s">
        <v>56</v>
      </c>
      <c r="E9" s="16" t="s">
        <v>33</v>
      </c>
      <c r="F9" s="22">
        <v>3</v>
      </c>
      <c r="G9" s="15" t="s">
        <v>149</v>
      </c>
      <c r="H9" s="16" t="s">
        <v>209</v>
      </c>
      <c r="I9" s="16">
        <v>2</v>
      </c>
      <c r="J9" s="16"/>
      <c r="K9" s="16" t="s">
        <v>220</v>
      </c>
      <c r="L9" s="16" t="s">
        <v>206</v>
      </c>
    </row>
    <row r="10" spans="1:217" s="23" customFormat="1" ht="27.75" customHeight="1" x14ac:dyDescent="0.35">
      <c r="A10" s="16">
        <v>9</v>
      </c>
      <c r="B10" s="16" t="s">
        <v>78</v>
      </c>
      <c r="C10" s="16" t="s">
        <v>15</v>
      </c>
      <c r="D10" s="17" t="s">
        <v>57</v>
      </c>
      <c r="E10" s="16" t="s">
        <v>35</v>
      </c>
      <c r="F10" s="22">
        <v>3</v>
      </c>
      <c r="G10" s="15" t="s">
        <v>67</v>
      </c>
      <c r="H10" s="16" t="s">
        <v>117</v>
      </c>
      <c r="I10" s="16">
        <v>2</v>
      </c>
      <c r="J10" s="16"/>
      <c r="K10" s="16" t="s">
        <v>129</v>
      </c>
      <c r="L10" s="16" t="s">
        <v>125</v>
      </c>
    </row>
    <row r="11" spans="1:217" s="24" customFormat="1" ht="15.75" x14ac:dyDescent="0.35">
      <c r="A11" s="16">
        <v>10</v>
      </c>
      <c r="B11" s="16" t="s">
        <v>79</v>
      </c>
      <c r="C11" s="16" t="s">
        <v>46</v>
      </c>
      <c r="D11" s="17" t="s">
        <v>47</v>
      </c>
      <c r="E11" s="16" t="s">
        <v>35</v>
      </c>
      <c r="F11" s="22">
        <v>3</v>
      </c>
      <c r="G11" s="17" t="s">
        <v>160</v>
      </c>
      <c r="H11" s="16" t="s">
        <v>117</v>
      </c>
      <c r="I11" s="16">
        <v>2</v>
      </c>
      <c r="J11" s="16"/>
      <c r="K11" s="16" t="s">
        <v>130</v>
      </c>
      <c r="L11" s="16" t="s">
        <v>69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</row>
    <row r="12" spans="1:217" s="24" customFormat="1" ht="39.75" customHeight="1" x14ac:dyDescent="0.35">
      <c r="A12" s="16">
        <v>11</v>
      </c>
      <c r="B12" s="16" t="s">
        <v>80</v>
      </c>
      <c r="C12" s="16" t="s">
        <v>81</v>
      </c>
      <c r="D12" s="17" t="s">
        <v>89</v>
      </c>
      <c r="E12" s="16" t="s">
        <v>60</v>
      </c>
      <c r="F12" s="22">
        <v>3</v>
      </c>
      <c r="G12" s="15" t="s">
        <v>202</v>
      </c>
      <c r="H12" s="16" t="s">
        <v>210</v>
      </c>
      <c r="I12" s="16">
        <v>2</v>
      </c>
      <c r="J12" s="16"/>
      <c r="K12" s="37" t="s">
        <v>221</v>
      </c>
      <c r="L12" s="16" t="s">
        <v>126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</row>
    <row r="13" spans="1:217" s="23" customFormat="1" ht="63" x14ac:dyDescent="0.35">
      <c r="A13" s="16">
        <v>12</v>
      </c>
      <c r="B13" s="16" t="s">
        <v>82</v>
      </c>
      <c r="C13" s="16" t="s">
        <v>113</v>
      </c>
      <c r="D13" s="17" t="s">
        <v>83</v>
      </c>
      <c r="E13" s="16" t="s">
        <v>60</v>
      </c>
      <c r="F13" s="22">
        <v>3</v>
      </c>
      <c r="G13" s="15" t="s">
        <v>164</v>
      </c>
      <c r="H13" s="16" t="s">
        <v>212</v>
      </c>
      <c r="I13" s="16" t="s">
        <v>150</v>
      </c>
      <c r="J13" s="16"/>
      <c r="K13" s="16" t="s">
        <v>222</v>
      </c>
      <c r="L13" s="16" t="s">
        <v>126</v>
      </c>
    </row>
    <row r="14" spans="1:217" s="23" customFormat="1" ht="15.75" x14ac:dyDescent="0.35">
      <c r="A14" s="16">
        <v>13</v>
      </c>
      <c r="B14" s="16" t="s">
        <v>84</v>
      </c>
      <c r="C14" s="16" t="s">
        <v>43</v>
      </c>
      <c r="D14" s="17" t="s">
        <v>44</v>
      </c>
      <c r="E14" s="16" t="s">
        <v>60</v>
      </c>
      <c r="F14" s="22">
        <v>3</v>
      </c>
      <c r="G14" s="29" t="s">
        <v>165</v>
      </c>
      <c r="H14" s="16" t="s">
        <v>117</v>
      </c>
      <c r="I14" s="16">
        <v>2</v>
      </c>
      <c r="J14" s="16"/>
      <c r="K14" s="37" t="s">
        <v>223</v>
      </c>
      <c r="L14" s="16" t="s">
        <v>249</v>
      </c>
    </row>
    <row r="15" spans="1:217" s="23" customFormat="1" ht="27.75" customHeight="1" x14ac:dyDescent="0.35">
      <c r="A15" s="16">
        <v>14</v>
      </c>
      <c r="B15" s="16" t="s">
        <v>86</v>
      </c>
      <c r="C15" s="16" t="s">
        <v>48</v>
      </c>
      <c r="D15" s="17" t="s">
        <v>152</v>
      </c>
      <c r="E15" s="16" t="s">
        <v>60</v>
      </c>
      <c r="F15" s="22">
        <v>3</v>
      </c>
      <c r="G15" s="29" t="s">
        <v>151</v>
      </c>
      <c r="H15" s="16" t="s">
        <v>211</v>
      </c>
      <c r="I15" s="16">
        <v>2</v>
      </c>
      <c r="J15" s="16"/>
      <c r="K15" s="37" t="s">
        <v>224</v>
      </c>
      <c r="L15" s="16" t="s">
        <v>131</v>
      </c>
    </row>
    <row r="16" spans="1:217" s="23" customFormat="1" ht="27.75" customHeight="1" x14ac:dyDescent="0.35">
      <c r="A16" s="16">
        <v>15</v>
      </c>
      <c r="B16" s="16" t="s">
        <v>87</v>
      </c>
      <c r="C16" s="16" t="s">
        <v>88</v>
      </c>
      <c r="D16" s="17" t="s">
        <v>90</v>
      </c>
      <c r="E16" s="16" t="s">
        <v>61</v>
      </c>
      <c r="F16" s="22">
        <v>3</v>
      </c>
      <c r="G16" s="29" t="s">
        <v>91</v>
      </c>
      <c r="H16" s="16" t="s">
        <v>210</v>
      </c>
      <c r="I16" s="16">
        <v>1</v>
      </c>
      <c r="J16" s="16"/>
      <c r="K16" s="16" t="s">
        <v>135</v>
      </c>
      <c r="L16" s="16" t="s">
        <v>91</v>
      </c>
    </row>
    <row r="17" spans="1:12" s="23" customFormat="1" ht="27.75" customHeight="1" x14ac:dyDescent="0.35">
      <c r="A17" s="16">
        <v>16</v>
      </c>
      <c r="B17" s="14" t="s">
        <v>92</v>
      </c>
      <c r="C17" s="14" t="s">
        <v>58</v>
      </c>
      <c r="D17" s="32" t="s">
        <v>93</v>
      </c>
      <c r="E17" s="14" t="s">
        <v>61</v>
      </c>
      <c r="F17" s="33">
        <v>3</v>
      </c>
      <c r="G17" s="32" t="s">
        <v>106</v>
      </c>
      <c r="H17" s="16" t="s">
        <v>210</v>
      </c>
      <c r="I17" s="16">
        <v>2</v>
      </c>
      <c r="J17" s="16"/>
      <c r="K17" s="16" t="s">
        <v>136</v>
      </c>
      <c r="L17" s="16" t="s">
        <v>132</v>
      </c>
    </row>
    <row r="18" spans="1:12" s="23" customFormat="1" ht="27.75" customHeight="1" x14ac:dyDescent="0.35">
      <c r="A18" s="16">
        <v>17</v>
      </c>
      <c r="B18" s="16" t="s">
        <v>94</v>
      </c>
      <c r="C18" s="16" t="s">
        <v>59</v>
      </c>
      <c r="D18" s="17" t="s">
        <v>95</v>
      </c>
      <c r="E18" s="14" t="s">
        <v>61</v>
      </c>
      <c r="F18" s="22">
        <v>3</v>
      </c>
      <c r="G18" s="17" t="s">
        <v>153</v>
      </c>
      <c r="H18" s="16" t="s">
        <v>210</v>
      </c>
      <c r="I18" s="16">
        <v>3</v>
      </c>
      <c r="J18" s="16"/>
      <c r="K18" s="16" t="s">
        <v>137</v>
      </c>
      <c r="L18" s="16" t="s">
        <v>133</v>
      </c>
    </row>
    <row r="19" spans="1:12" s="23" customFormat="1" ht="27.75" customHeight="1" x14ac:dyDescent="0.35">
      <c r="A19" s="16">
        <v>18</v>
      </c>
      <c r="B19" s="14" t="s">
        <v>96</v>
      </c>
      <c r="C19" s="14" t="s">
        <v>97</v>
      </c>
      <c r="D19" s="32" t="s">
        <v>161</v>
      </c>
      <c r="E19" s="14" t="s">
        <v>61</v>
      </c>
      <c r="F19" s="33">
        <v>3</v>
      </c>
      <c r="G19" s="32" t="s">
        <v>166</v>
      </c>
      <c r="H19" s="16" t="s">
        <v>210</v>
      </c>
      <c r="I19" s="16">
        <v>1</v>
      </c>
      <c r="J19" s="16"/>
      <c r="K19" s="16" t="s">
        <v>138</v>
      </c>
      <c r="L19" s="16" t="s">
        <v>134</v>
      </c>
    </row>
    <row r="20" spans="1:12" s="23" customFormat="1" ht="27.75" customHeight="1" x14ac:dyDescent="0.35">
      <c r="A20" s="16">
        <v>19</v>
      </c>
      <c r="B20" s="16" t="s">
        <v>98</v>
      </c>
      <c r="C20" s="16" t="s">
        <v>99</v>
      </c>
      <c r="D20" s="17" t="s">
        <v>100</v>
      </c>
      <c r="E20" s="14" t="s">
        <v>101</v>
      </c>
      <c r="F20" s="22">
        <v>3</v>
      </c>
      <c r="G20" s="17" t="s">
        <v>102</v>
      </c>
      <c r="H20" s="16" t="s">
        <v>117</v>
      </c>
      <c r="I20" s="16">
        <v>1</v>
      </c>
      <c r="J20" s="16"/>
      <c r="K20" s="16" t="s">
        <v>139</v>
      </c>
      <c r="L20" s="16" t="s">
        <v>102</v>
      </c>
    </row>
    <row r="21" spans="1:12" s="23" customFormat="1" ht="15.75" x14ac:dyDescent="0.35">
      <c r="A21" s="16">
        <v>20</v>
      </c>
      <c r="B21" s="16" t="s">
        <v>155</v>
      </c>
      <c r="C21" s="16" t="s">
        <v>156</v>
      </c>
      <c r="D21" s="17" t="s">
        <v>154</v>
      </c>
      <c r="E21" s="14" t="s">
        <v>101</v>
      </c>
      <c r="F21" s="22">
        <v>3</v>
      </c>
      <c r="G21" s="17" t="s">
        <v>157</v>
      </c>
      <c r="H21" s="16" t="s">
        <v>117</v>
      </c>
      <c r="I21" s="16">
        <v>1</v>
      </c>
      <c r="J21" s="16"/>
      <c r="K21" s="37" t="s">
        <v>225</v>
      </c>
      <c r="L21" s="16" t="s">
        <v>157</v>
      </c>
    </row>
    <row r="22" spans="1:12" ht="24.95" customHeight="1" x14ac:dyDescent="0.35">
      <c r="A22" s="13"/>
      <c r="B22" s="13"/>
      <c r="C22" s="13"/>
      <c r="E22" s="18" t="s">
        <v>36</v>
      </c>
      <c r="F22" s="19">
        <f>SUM(F2:F21)</f>
        <v>60</v>
      </c>
      <c r="G22" s="13"/>
      <c r="H22" s="13"/>
      <c r="I22" s="13"/>
      <c r="J22" s="13"/>
      <c r="K22" s="13"/>
      <c r="L22" s="13"/>
    </row>
    <row r="23" spans="1:12" ht="21" customHeight="1" x14ac:dyDescent="0.35">
      <c r="A23" s="13"/>
      <c r="B23" s="13"/>
      <c r="C23" s="13"/>
      <c r="G23" s="13"/>
      <c r="H23" s="13"/>
      <c r="I23" s="13"/>
      <c r="J23" s="13"/>
      <c r="K23" s="13">
        <f>62+69</f>
        <v>131</v>
      </c>
      <c r="L23" s="13"/>
    </row>
    <row r="24" spans="1:12" ht="20.100000000000001" customHeight="1" x14ac:dyDescent="0.35">
      <c r="B24" s="1" t="str">
        <f>CONCATENATE(B12,D12)</f>
        <v>7MP720SE22Technology Enabled Operations Management* IMBA</v>
      </c>
    </row>
    <row r="25" spans="1:12" ht="20.100000000000001" customHeight="1" x14ac:dyDescent="0.35">
      <c r="B25" s="1" t="str">
        <f>CONCATENATE(B13,D13)</f>
        <v>7MP707SE24Data Visualisation &amp; Visual Storytelling</v>
      </c>
    </row>
    <row r="26" spans="1:12" ht="20.100000000000001" customHeight="1" x14ac:dyDescent="0.35">
      <c r="B26" s="1" t="str">
        <f>CONCATENATE(B14,D14)</f>
        <v>7MP708SE22Digital Consulting</v>
      </c>
    </row>
    <row r="27" spans="1:12" ht="20.100000000000001" customHeight="1" x14ac:dyDescent="0.35">
      <c r="B27" s="1" t="str">
        <f>CONCATENATE(B15,D15)</f>
        <v>7MP714SE22Machine Learning &amp; Artificial Intelligence* IMBA</v>
      </c>
    </row>
    <row r="28" spans="1:12" ht="20.100000000000001" customHeight="1" x14ac:dyDescent="0.35">
      <c r="B28" s="1" t="str">
        <f>CONCATENATE(B16,D16)</f>
        <v>7MP201SE22Data Analytics &amp; Data Mining* IMBA</v>
      </c>
    </row>
    <row r="29" spans="1:12" ht="20.100000000000001" customHeight="1" x14ac:dyDescent="0.35">
      <c r="B29" s="1" t="s">
        <v>187</v>
      </c>
    </row>
  </sheetData>
  <autoFilter ref="A1:HI22" xr:uid="{00000000-0001-0000-0000-000000000000}"/>
  <hyperlinks>
    <hyperlink ref="K8" r:id="rId1" display="himanshuchauhan@nirmauni.ac.in,_x000a_" xr:uid="{9EB55FC8-6B73-450B-9ED5-DFC0C5ABDA3C}"/>
    <hyperlink ref="K2" r:id="rId2" xr:uid="{E4A3BA25-BD19-4684-94DC-DE4D176332B1}"/>
    <hyperlink ref="K7" r:id="rId3" display="sandip@nirmauni.ac.in," xr:uid="{E28CB428-D644-4C92-B38F-2EDFD3597834}"/>
    <hyperlink ref="K12" r:id="rId4" display="pganesh.edi@gmail.com," xr:uid="{714FE7F1-C8D1-4EA7-A5E1-67A75123A754}"/>
    <hyperlink ref="K14" r:id="rId5" xr:uid="{537B950B-3EF8-4761-829F-D805A23E2A0D}"/>
    <hyperlink ref="K15" r:id="rId6" xr:uid="{6B3D8DA9-3796-4736-8E5F-8B6EF1B3E72D}"/>
    <hyperlink ref="K21" r:id="rId7" xr:uid="{FD3D1E2E-A4DC-467F-9A67-6165A265D20E}"/>
  </hyperlinks>
  <printOptions horizontalCentered="1"/>
  <pageMargins left="0.15748031496062992" right="0.15748031496062992" top="1.0236220472440944" bottom="0.51181102362204722" header="0.27559055118110237" footer="0.51181102362204722"/>
  <pageSetup paperSize="9" scale="77" fitToWidth="0" orientation="landscape" horizontalDpi="1200" verticalDpi="1200" r:id="rId8"/>
  <headerFooter alignWithMargins="0">
    <oddHeader>&amp;C&amp;"+,Bold"&amp;14Institute of Management, Nirma University
Master of Business Administration &amp; B. Tech (CSE) MBA
Batch: 2024 - 2026 &amp; 2021-26
 (Term - V)
Details of Courses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5"/>
  <sheetViews>
    <sheetView tabSelected="1" zoomScale="85" zoomScaleNormal="85" workbookViewId="0">
      <selection activeCell="D10" sqref="D10"/>
    </sheetView>
  </sheetViews>
  <sheetFormatPr defaultColWidth="9.1328125" defaultRowHeight="18" customHeight="1" x14ac:dyDescent="0.35"/>
  <cols>
    <col min="1" max="1" width="12.1328125" style="1" bestFit="1" customWidth="1"/>
    <col min="2" max="2" width="11.59765625" style="1" customWidth="1"/>
    <col min="3" max="4" width="26.3984375" style="1" customWidth="1"/>
    <col min="5" max="5" width="25.59765625" style="1" customWidth="1"/>
    <col min="6" max="6" width="24" style="1" customWidth="1"/>
    <col min="7" max="7" width="12.1328125" style="1" customWidth="1"/>
    <col min="8" max="8" width="18.73046875" style="1" customWidth="1"/>
    <col min="9" max="9" width="29.86328125" style="1" customWidth="1"/>
    <col min="10" max="10" width="36.73046875" style="1" customWidth="1"/>
    <col min="11" max="11" width="33.73046875" style="1" customWidth="1"/>
    <col min="12" max="14" width="13.86328125" style="1" bestFit="1" customWidth="1"/>
    <col min="15" max="16" width="9.1328125" style="1" customWidth="1"/>
    <col min="17" max="17" width="10" style="1" bestFit="1" customWidth="1"/>
    <col min="18" max="18" width="9.1328125" style="1"/>
    <col min="19" max="19" width="10.59765625" style="1" bestFit="1" customWidth="1"/>
    <col min="20" max="20" width="13.59765625" style="1" bestFit="1" customWidth="1"/>
    <col min="21" max="21" width="16.265625" style="1" bestFit="1" customWidth="1"/>
    <col min="22" max="22" width="19" style="1" bestFit="1" customWidth="1"/>
    <col min="23" max="23" width="12.59765625" style="1" bestFit="1" customWidth="1"/>
    <col min="24" max="24" width="36" style="1" customWidth="1"/>
    <col min="25" max="25" width="12.1328125" style="1" bestFit="1" customWidth="1"/>
    <col min="26" max="26" width="12.73046875" style="1" bestFit="1" customWidth="1"/>
    <col min="27" max="27" width="11.3984375" style="1" bestFit="1" customWidth="1"/>
    <col min="28" max="28" width="10.73046875" style="1" bestFit="1" customWidth="1"/>
    <col min="29" max="29" width="11.3984375" style="1" bestFit="1" customWidth="1"/>
    <col min="30" max="30" width="11.3984375" style="1" customWidth="1"/>
    <col min="31" max="16384" width="9.1328125" style="1"/>
  </cols>
  <sheetData>
    <row r="1" spans="1:31" ht="23.25" customHeight="1" x14ac:dyDescent="0.35">
      <c r="A1" s="51" t="s">
        <v>5</v>
      </c>
      <c r="B1" s="51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68</v>
      </c>
      <c r="H1" s="5" t="s">
        <v>4</v>
      </c>
      <c r="I1" s="5" t="s">
        <v>7</v>
      </c>
      <c r="J1" s="5" t="s">
        <v>8</v>
      </c>
      <c r="K1" s="5" t="s">
        <v>9</v>
      </c>
      <c r="L1" s="5" t="s">
        <v>45</v>
      </c>
      <c r="M1" s="5" t="s">
        <v>50</v>
      </c>
      <c r="N1" s="5" t="s">
        <v>51</v>
      </c>
      <c r="O1" s="49" t="s">
        <v>6</v>
      </c>
      <c r="Q1" s="51" t="s">
        <v>5</v>
      </c>
      <c r="R1" s="51" t="s">
        <v>6</v>
      </c>
      <c r="S1" s="5" t="s">
        <v>0</v>
      </c>
      <c r="T1" s="5" t="s">
        <v>1</v>
      </c>
      <c r="U1" s="5" t="s">
        <v>2</v>
      </c>
      <c r="V1" s="5" t="s">
        <v>3</v>
      </c>
      <c r="W1" s="5" t="s">
        <v>4</v>
      </c>
      <c r="X1" s="5" t="s">
        <v>4</v>
      </c>
      <c r="Y1" s="5" t="s">
        <v>7</v>
      </c>
      <c r="Z1" s="5" t="s">
        <v>8</v>
      </c>
      <c r="AA1" s="5" t="s">
        <v>9</v>
      </c>
      <c r="AB1" s="5" t="s">
        <v>45</v>
      </c>
      <c r="AC1" s="5" t="s">
        <v>50</v>
      </c>
      <c r="AD1" s="5" t="s">
        <v>51</v>
      </c>
      <c r="AE1" s="49" t="s">
        <v>6</v>
      </c>
    </row>
    <row r="2" spans="1:31" ht="51" customHeight="1" x14ac:dyDescent="0.35">
      <c r="A2" s="52"/>
      <c r="B2" s="52"/>
      <c r="C2" s="6" t="s">
        <v>188</v>
      </c>
      <c r="D2" s="6" t="s">
        <v>189</v>
      </c>
      <c r="E2" s="6" t="s">
        <v>190</v>
      </c>
      <c r="F2" s="6" t="s">
        <v>191</v>
      </c>
      <c r="G2" s="6" t="s">
        <v>199</v>
      </c>
      <c r="H2" s="6" t="s">
        <v>192</v>
      </c>
      <c r="I2" s="6" t="s">
        <v>193</v>
      </c>
      <c r="J2" s="6" t="s">
        <v>194</v>
      </c>
      <c r="K2" s="6" t="s">
        <v>49</v>
      </c>
      <c r="L2" s="6" t="s">
        <v>195</v>
      </c>
      <c r="M2" s="6" t="s">
        <v>196</v>
      </c>
      <c r="N2" s="42" t="s">
        <v>62</v>
      </c>
      <c r="O2" s="50"/>
      <c r="Q2" s="52"/>
      <c r="R2" s="52"/>
      <c r="S2" s="6" t="s">
        <v>188</v>
      </c>
      <c r="T2" s="6" t="s">
        <v>189</v>
      </c>
      <c r="U2" s="6" t="s">
        <v>190</v>
      </c>
      <c r="V2" s="6" t="s">
        <v>191</v>
      </c>
      <c r="W2" s="6"/>
      <c r="X2" s="6" t="s">
        <v>192</v>
      </c>
      <c r="Y2" s="6" t="s">
        <v>193</v>
      </c>
      <c r="Z2" s="6" t="s">
        <v>194</v>
      </c>
      <c r="AA2" s="6" t="s">
        <v>49</v>
      </c>
      <c r="AB2" s="6" t="s">
        <v>195</v>
      </c>
      <c r="AC2" s="6" t="s">
        <v>196</v>
      </c>
      <c r="AD2" s="42" t="s">
        <v>62</v>
      </c>
      <c r="AE2" s="50"/>
    </row>
    <row r="3" spans="1:31" ht="24.95" customHeight="1" x14ac:dyDescent="0.35">
      <c r="A3" s="3"/>
      <c r="B3" s="4"/>
      <c r="C3" s="62" t="s">
        <v>214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Q3" s="3"/>
      <c r="R3" s="4"/>
      <c r="S3" s="62" t="s">
        <v>226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</row>
    <row r="4" spans="1:31" ht="30" customHeight="1" x14ac:dyDescent="0.35">
      <c r="A4" s="3">
        <v>45962</v>
      </c>
      <c r="B4" s="25" t="str">
        <f t="shared" ref="B4:B32" si="0">TEXT(A4,"dddd")</f>
        <v>Saturday</v>
      </c>
      <c r="C4" s="7" t="s">
        <v>197</v>
      </c>
      <c r="D4" s="7" t="s">
        <v>180</v>
      </c>
      <c r="E4" s="7" t="s">
        <v>231</v>
      </c>
      <c r="F4" s="7" t="s">
        <v>181</v>
      </c>
      <c r="G4" s="7" t="s">
        <v>156</v>
      </c>
      <c r="H4" s="7" t="s">
        <v>203</v>
      </c>
      <c r="I4" s="41" t="s">
        <v>182</v>
      </c>
      <c r="J4" s="7" t="s">
        <v>97</v>
      </c>
      <c r="K4" s="7" t="s">
        <v>184</v>
      </c>
      <c r="L4" s="7" t="s">
        <v>184</v>
      </c>
      <c r="M4" s="7"/>
      <c r="N4" s="35"/>
      <c r="O4" s="1">
        <v>21</v>
      </c>
      <c r="Q4" s="3">
        <v>45962</v>
      </c>
      <c r="R4" s="25" t="str">
        <f t="shared" ref="R4:R34" si="1">TEXT(Q4,"dddd")</f>
        <v>Saturday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30" customHeight="1" x14ac:dyDescent="0.35">
      <c r="A5" s="3">
        <v>45963</v>
      </c>
      <c r="B5" s="25" t="str">
        <f t="shared" si="0"/>
        <v>Sunday</v>
      </c>
      <c r="C5" s="7"/>
      <c r="D5" s="7"/>
      <c r="E5" s="7"/>
      <c r="F5" s="7"/>
      <c r="G5" s="7"/>
      <c r="H5" s="7"/>
      <c r="I5" s="41"/>
      <c r="J5" s="7"/>
      <c r="K5" s="7"/>
      <c r="L5" s="7"/>
      <c r="M5" s="7"/>
      <c r="N5" s="35"/>
      <c r="Q5" s="3">
        <v>45963</v>
      </c>
      <c r="R5" s="25" t="str">
        <f t="shared" si="1"/>
        <v>Sunday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30" customHeight="1" x14ac:dyDescent="0.35">
      <c r="A6" s="3">
        <v>45964</v>
      </c>
      <c r="B6" s="25" t="str">
        <f t="shared" si="0"/>
        <v>Monday</v>
      </c>
      <c r="C6" s="7" t="s">
        <v>171</v>
      </c>
      <c r="D6" s="7" t="s">
        <v>174</v>
      </c>
      <c r="E6" s="7" t="s">
        <v>173</v>
      </c>
      <c r="F6" s="7" t="s">
        <v>172</v>
      </c>
      <c r="G6" s="7"/>
      <c r="H6" s="7" t="s">
        <v>176</v>
      </c>
      <c r="I6" s="41" t="s">
        <v>175</v>
      </c>
      <c r="J6" s="7" t="s">
        <v>177</v>
      </c>
      <c r="K6" s="7" t="s">
        <v>178</v>
      </c>
      <c r="L6" s="7" t="s">
        <v>38</v>
      </c>
      <c r="M6" s="7" t="s">
        <v>97</v>
      </c>
      <c r="N6" s="35"/>
      <c r="O6" s="1">
        <v>22</v>
      </c>
      <c r="Q6" s="3">
        <v>45964</v>
      </c>
      <c r="R6" s="25" t="str">
        <f t="shared" si="1"/>
        <v>Monday</v>
      </c>
      <c r="S6" s="7" t="s">
        <v>231</v>
      </c>
      <c r="T6" s="7" t="s">
        <v>234</v>
      </c>
      <c r="U6" s="7" t="s">
        <v>232</v>
      </c>
      <c r="V6" s="7" t="s">
        <v>233</v>
      </c>
      <c r="W6" s="7"/>
      <c r="X6" s="7" t="s">
        <v>183</v>
      </c>
      <c r="Y6" s="7" t="s">
        <v>183</v>
      </c>
      <c r="AB6" s="7"/>
      <c r="AC6" s="7"/>
      <c r="AD6" s="41"/>
      <c r="AE6" s="7"/>
    </row>
    <row r="7" spans="1:31" ht="30" customHeight="1" x14ac:dyDescent="0.35">
      <c r="A7" s="3">
        <v>45965</v>
      </c>
      <c r="B7" s="25" t="str">
        <f t="shared" si="0"/>
        <v>Tuesday</v>
      </c>
      <c r="C7" s="7" t="s">
        <v>197</v>
      </c>
      <c r="D7" s="7" t="s">
        <v>180</v>
      </c>
      <c r="E7" s="7" t="s">
        <v>231</v>
      </c>
      <c r="F7" s="7" t="s">
        <v>181</v>
      </c>
      <c r="G7" s="7" t="s">
        <v>156</v>
      </c>
      <c r="H7" s="7" t="s">
        <v>203</v>
      </c>
      <c r="I7" s="7" t="s">
        <v>182</v>
      </c>
      <c r="J7" s="7" t="s">
        <v>183</v>
      </c>
      <c r="K7" s="7" t="s">
        <v>183</v>
      </c>
      <c r="L7" s="7" t="s">
        <v>43</v>
      </c>
      <c r="M7" s="7" t="s">
        <v>43</v>
      </c>
      <c r="N7" s="35"/>
      <c r="O7" s="1">
        <v>23</v>
      </c>
      <c r="Q7" s="3">
        <v>45965</v>
      </c>
      <c r="R7" s="25" t="str">
        <f t="shared" si="1"/>
        <v>Tuesday</v>
      </c>
      <c r="S7" s="7"/>
      <c r="T7" s="7"/>
      <c r="U7" s="7" t="s">
        <v>230</v>
      </c>
      <c r="V7" s="41" t="s">
        <v>227</v>
      </c>
      <c r="W7" s="7"/>
      <c r="X7" s="7" t="s">
        <v>228</v>
      </c>
      <c r="Y7" s="7" t="s">
        <v>229</v>
      </c>
      <c r="Z7" s="7" t="s">
        <v>38</v>
      </c>
      <c r="AA7" s="7"/>
      <c r="AB7" s="7"/>
      <c r="AC7" s="7"/>
      <c r="AD7" s="41"/>
      <c r="AE7" s="7"/>
    </row>
    <row r="8" spans="1:31" ht="30" customHeight="1" x14ac:dyDescent="0.35">
      <c r="A8" s="3">
        <v>45966</v>
      </c>
      <c r="B8" s="25" t="str">
        <f t="shared" si="0"/>
        <v>Wednesday</v>
      </c>
      <c r="C8" s="46" t="s">
        <v>40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Q8" s="3">
        <v>45966</v>
      </c>
      <c r="R8" s="25" t="str">
        <f t="shared" si="1"/>
        <v>Wednesday</v>
      </c>
      <c r="S8" s="46" t="s">
        <v>40</v>
      </c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8"/>
    </row>
    <row r="9" spans="1:31" ht="30" customHeight="1" x14ac:dyDescent="0.35">
      <c r="A9" s="3">
        <v>45967</v>
      </c>
      <c r="B9" s="25" t="str">
        <f t="shared" si="0"/>
        <v>Thursday</v>
      </c>
      <c r="C9" s="7" t="s">
        <v>197</v>
      </c>
      <c r="D9" s="7" t="s">
        <v>180</v>
      </c>
      <c r="E9" s="7" t="s">
        <v>231</v>
      </c>
      <c r="F9" s="7" t="s">
        <v>181</v>
      </c>
      <c r="G9" s="7"/>
      <c r="H9" s="7" t="s">
        <v>176</v>
      </c>
      <c r="I9" s="41" t="s">
        <v>175</v>
      </c>
      <c r="J9" s="7" t="s">
        <v>177</v>
      </c>
      <c r="K9" s="7" t="s">
        <v>178</v>
      </c>
      <c r="L9" s="7" t="s">
        <v>38</v>
      </c>
      <c r="M9" s="7" t="s">
        <v>97</v>
      </c>
      <c r="N9" s="7" t="s">
        <v>97</v>
      </c>
      <c r="O9" s="1">
        <v>24</v>
      </c>
      <c r="Q9" s="3">
        <v>45967</v>
      </c>
      <c r="R9" s="25" t="str">
        <f t="shared" si="1"/>
        <v>Thursday</v>
      </c>
      <c r="S9" s="7"/>
      <c r="T9" s="7"/>
      <c r="U9" s="7" t="s">
        <v>230</v>
      </c>
      <c r="V9" s="41" t="s">
        <v>227</v>
      </c>
      <c r="W9" s="7"/>
      <c r="X9" s="7" t="s">
        <v>228</v>
      </c>
      <c r="Y9" s="7" t="s">
        <v>229</v>
      </c>
      <c r="Z9" s="7" t="s">
        <v>38</v>
      </c>
      <c r="AA9" s="7"/>
      <c r="AB9" s="7"/>
      <c r="AC9" s="7"/>
      <c r="AD9" s="41"/>
      <c r="AE9" s="7"/>
    </row>
    <row r="10" spans="1:31" ht="30" customHeight="1" x14ac:dyDescent="0.35">
      <c r="A10" s="3">
        <v>45968</v>
      </c>
      <c r="B10" s="25" t="str">
        <f t="shared" si="0"/>
        <v>Friday</v>
      </c>
      <c r="C10" s="7" t="s">
        <v>171</v>
      </c>
      <c r="D10" s="7" t="s">
        <v>174</v>
      </c>
      <c r="E10" s="7" t="s">
        <v>173</v>
      </c>
      <c r="F10" s="7" t="s">
        <v>172</v>
      </c>
      <c r="G10" s="7"/>
      <c r="H10" s="7" t="s">
        <v>176</v>
      </c>
      <c r="I10" s="41" t="s">
        <v>175</v>
      </c>
      <c r="J10" s="45" t="s">
        <v>177</v>
      </c>
      <c r="K10" s="45" t="s">
        <v>178</v>
      </c>
      <c r="L10" s="7" t="s">
        <v>38</v>
      </c>
      <c r="M10" s="7" t="s">
        <v>184</v>
      </c>
      <c r="N10" s="7"/>
      <c r="O10" s="1">
        <v>25</v>
      </c>
      <c r="Q10" s="3">
        <v>45968</v>
      </c>
      <c r="R10" s="25" t="str">
        <f t="shared" si="1"/>
        <v>Friday</v>
      </c>
      <c r="S10" s="7" t="s">
        <v>231</v>
      </c>
      <c r="T10" s="7" t="s">
        <v>234</v>
      </c>
      <c r="U10" s="7" t="s">
        <v>232</v>
      </c>
      <c r="V10" s="7" t="s">
        <v>233</v>
      </c>
      <c r="W10" s="7"/>
      <c r="X10" s="7" t="s">
        <v>183</v>
      </c>
      <c r="Y10" s="7" t="s">
        <v>183</v>
      </c>
      <c r="AB10" s="7"/>
      <c r="AC10" s="7"/>
      <c r="AD10" s="41"/>
      <c r="AE10" s="7"/>
    </row>
    <row r="11" spans="1:31" ht="30" customHeight="1" x14ac:dyDescent="0.35">
      <c r="A11" s="3">
        <v>45969</v>
      </c>
      <c r="B11" s="25" t="str">
        <f t="shared" si="0"/>
        <v>Saturday</v>
      </c>
      <c r="C11" s="7" t="s">
        <v>43</v>
      </c>
      <c r="D11" s="7" t="s">
        <v>43</v>
      </c>
      <c r="E11" s="7"/>
      <c r="F11" s="8"/>
      <c r="G11" s="8"/>
      <c r="H11" s="7" t="s">
        <v>213</v>
      </c>
      <c r="I11" s="7" t="s">
        <v>110</v>
      </c>
      <c r="J11" s="7" t="s">
        <v>184</v>
      </c>
      <c r="K11" s="7" t="s">
        <v>184</v>
      </c>
      <c r="L11" s="8"/>
      <c r="M11" s="8"/>
      <c r="N11" s="8"/>
      <c r="Q11" s="3">
        <v>45969</v>
      </c>
      <c r="R11" s="25" t="str">
        <f t="shared" si="1"/>
        <v>Saturday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30" customHeight="1" x14ac:dyDescent="0.35">
      <c r="A12" s="3">
        <v>45970</v>
      </c>
      <c r="B12" s="25" t="str">
        <f t="shared" si="0"/>
        <v>Sunday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Q12" s="3">
        <v>45970</v>
      </c>
      <c r="R12" s="25" t="str">
        <f t="shared" si="1"/>
        <v>Sunday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30" customHeight="1" x14ac:dyDescent="0.35">
      <c r="A13" s="3">
        <v>45971</v>
      </c>
      <c r="B13" s="25" t="str">
        <f t="shared" si="0"/>
        <v>Monday</v>
      </c>
      <c r="C13" s="7" t="s">
        <v>171</v>
      </c>
      <c r="D13" s="7" t="s">
        <v>174</v>
      </c>
      <c r="E13" s="7" t="s">
        <v>173</v>
      </c>
      <c r="F13" s="7" t="s">
        <v>172</v>
      </c>
      <c r="G13" s="7"/>
      <c r="H13" s="7" t="s">
        <v>176</v>
      </c>
      <c r="I13" s="41" t="s">
        <v>175</v>
      </c>
      <c r="J13" s="7" t="s">
        <v>246</v>
      </c>
      <c r="K13" s="7" t="s">
        <v>178</v>
      </c>
      <c r="L13" s="7" t="s">
        <v>38</v>
      </c>
      <c r="M13" s="7" t="s">
        <v>97</v>
      </c>
      <c r="N13" s="35"/>
      <c r="O13" s="1">
        <v>26</v>
      </c>
      <c r="Q13" s="3">
        <v>45971</v>
      </c>
      <c r="R13" s="25" t="str">
        <f t="shared" si="1"/>
        <v>Monday</v>
      </c>
      <c r="S13" s="7" t="s">
        <v>231</v>
      </c>
      <c r="T13" s="7" t="s">
        <v>234</v>
      </c>
      <c r="U13" s="7" t="s">
        <v>232</v>
      </c>
      <c r="V13" s="7" t="s">
        <v>233</v>
      </c>
      <c r="W13" s="7"/>
      <c r="X13" s="7" t="s">
        <v>183</v>
      </c>
      <c r="Y13" s="7" t="s">
        <v>183</v>
      </c>
      <c r="AB13" s="7"/>
      <c r="AC13" s="7"/>
      <c r="AD13" s="41"/>
      <c r="AE13" s="7"/>
    </row>
    <row r="14" spans="1:31" ht="30" customHeight="1" x14ac:dyDescent="0.35">
      <c r="A14" s="3">
        <v>45972</v>
      </c>
      <c r="B14" s="25" t="str">
        <f t="shared" si="0"/>
        <v>Tuesday</v>
      </c>
      <c r="C14" s="7" t="s">
        <v>197</v>
      </c>
      <c r="D14" s="7" t="s">
        <v>180</v>
      </c>
      <c r="E14" s="7" t="s">
        <v>179</v>
      </c>
      <c r="F14" s="7" t="s">
        <v>181</v>
      </c>
      <c r="G14" s="7" t="s">
        <v>156</v>
      </c>
      <c r="H14" s="7" t="s">
        <v>203</v>
      </c>
      <c r="I14" s="7" t="s">
        <v>182</v>
      </c>
      <c r="J14" s="7" t="s">
        <v>183</v>
      </c>
      <c r="K14" s="7" t="s">
        <v>183</v>
      </c>
      <c r="L14" s="7" t="s">
        <v>43</v>
      </c>
      <c r="M14" s="7" t="s">
        <v>43</v>
      </c>
      <c r="N14" s="35"/>
      <c r="O14" s="1">
        <v>27</v>
      </c>
      <c r="Q14" s="3">
        <v>45972</v>
      </c>
      <c r="R14" s="25" t="str">
        <f t="shared" si="1"/>
        <v>Tuesday</v>
      </c>
      <c r="S14" s="7"/>
      <c r="T14" s="7"/>
      <c r="U14" s="7" t="s">
        <v>230</v>
      </c>
      <c r="V14" s="41" t="s">
        <v>227</v>
      </c>
      <c r="W14" s="7"/>
      <c r="X14" s="7" t="s">
        <v>228</v>
      </c>
      <c r="Y14" s="7" t="s">
        <v>229</v>
      </c>
      <c r="Z14" s="7" t="s">
        <v>38</v>
      </c>
      <c r="AA14" s="7"/>
      <c r="AB14" s="7"/>
      <c r="AC14" s="7"/>
      <c r="AD14" s="41"/>
      <c r="AE14" s="7"/>
    </row>
    <row r="15" spans="1:31" ht="30" customHeight="1" x14ac:dyDescent="0.35">
      <c r="A15" s="3">
        <v>45973</v>
      </c>
      <c r="B15" s="25" t="str">
        <f t="shared" si="0"/>
        <v>Wednesday</v>
      </c>
      <c r="C15" s="7" t="s">
        <v>171</v>
      </c>
      <c r="D15" s="7" t="s">
        <v>174</v>
      </c>
      <c r="E15" s="7" t="s">
        <v>173</v>
      </c>
      <c r="F15" s="7" t="s">
        <v>172</v>
      </c>
      <c r="G15" s="7"/>
      <c r="H15" s="7" t="s">
        <v>203</v>
      </c>
      <c r="I15" s="7" t="s">
        <v>182</v>
      </c>
      <c r="J15" s="7" t="s">
        <v>183</v>
      </c>
      <c r="K15" s="7" t="s">
        <v>183</v>
      </c>
      <c r="L15" s="7" t="s">
        <v>184</v>
      </c>
      <c r="M15" s="45" t="s">
        <v>108</v>
      </c>
      <c r="N15" s="35"/>
      <c r="O15" s="1">
        <v>28</v>
      </c>
      <c r="Q15" s="3">
        <v>45973</v>
      </c>
      <c r="R15" s="25" t="str">
        <f t="shared" si="1"/>
        <v>Wednesday</v>
      </c>
      <c r="S15" s="7" t="s">
        <v>231</v>
      </c>
      <c r="T15" s="7" t="s">
        <v>234</v>
      </c>
      <c r="U15" s="7" t="s">
        <v>232</v>
      </c>
      <c r="V15" s="7" t="s">
        <v>233</v>
      </c>
      <c r="W15" s="7"/>
      <c r="X15" s="7" t="s">
        <v>183</v>
      </c>
      <c r="Y15" s="7" t="s">
        <v>183</v>
      </c>
      <c r="AB15" s="7"/>
      <c r="AC15" s="7"/>
      <c r="AD15" s="41"/>
      <c r="AE15" s="7"/>
    </row>
    <row r="16" spans="1:31" ht="30" customHeight="1" x14ac:dyDescent="0.35">
      <c r="A16" s="3">
        <v>45974</v>
      </c>
      <c r="B16" s="25" t="str">
        <f t="shared" si="0"/>
        <v>Thursday</v>
      </c>
      <c r="C16" s="7" t="s">
        <v>197</v>
      </c>
      <c r="D16" s="7" t="s">
        <v>180</v>
      </c>
      <c r="E16" s="7" t="s">
        <v>179</v>
      </c>
      <c r="F16" s="7" t="s">
        <v>181</v>
      </c>
      <c r="G16" s="7"/>
      <c r="H16" s="7" t="s">
        <v>176</v>
      </c>
      <c r="I16" s="41" t="s">
        <v>175</v>
      </c>
      <c r="J16" s="7" t="s">
        <v>246</v>
      </c>
      <c r="K16" s="7" t="s">
        <v>250</v>
      </c>
      <c r="L16" s="7"/>
      <c r="M16" s="7" t="s">
        <v>97</v>
      </c>
      <c r="N16" s="35" t="s">
        <v>97</v>
      </c>
      <c r="O16" s="1">
        <v>29</v>
      </c>
      <c r="Q16" s="3">
        <v>45974</v>
      </c>
      <c r="R16" s="25" t="str">
        <f t="shared" si="1"/>
        <v>Thursday</v>
      </c>
      <c r="S16" s="7"/>
      <c r="T16" s="7"/>
      <c r="U16" s="7" t="s">
        <v>230</v>
      </c>
      <c r="V16" s="41" t="s">
        <v>227</v>
      </c>
      <c r="W16" s="7"/>
      <c r="X16" s="7" t="s">
        <v>228</v>
      </c>
      <c r="Y16" s="7" t="s">
        <v>229</v>
      </c>
      <c r="Z16" s="7" t="s">
        <v>38</v>
      </c>
      <c r="AA16" s="7"/>
      <c r="AB16" s="7"/>
      <c r="AC16" s="7"/>
      <c r="AD16" s="41"/>
      <c r="AE16" s="7"/>
    </row>
    <row r="17" spans="1:31" ht="30" customHeight="1" x14ac:dyDescent="0.35">
      <c r="A17" s="3">
        <v>45975</v>
      </c>
      <c r="B17" s="25" t="str">
        <f t="shared" si="0"/>
        <v>Friday</v>
      </c>
      <c r="C17" s="7" t="s">
        <v>171</v>
      </c>
      <c r="D17" s="7" t="s">
        <v>174</v>
      </c>
      <c r="E17" s="7" t="s">
        <v>173</v>
      </c>
      <c r="F17" s="7" t="s">
        <v>172</v>
      </c>
      <c r="G17" s="7"/>
      <c r="H17" s="7" t="s">
        <v>176</v>
      </c>
      <c r="I17" s="41" t="s">
        <v>175</v>
      </c>
      <c r="J17" s="7" t="s">
        <v>198</v>
      </c>
      <c r="K17" s="7" t="s">
        <v>88</v>
      </c>
      <c r="L17" s="7"/>
      <c r="M17" s="7"/>
      <c r="N17" s="35"/>
      <c r="O17" s="21">
        <v>30</v>
      </c>
      <c r="P17" s="21"/>
      <c r="Q17" s="3">
        <v>45975</v>
      </c>
      <c r="R17" s="25" t="str">
        <f t="shared" si="1"/>
        <v>Friday</v>
      </c>
      <c r="S17" s="7" t="s">
        <v>231</v>
      </c>
      <c r="T17" s="7" t="s">
        <v>234</v>
      </c>
      <c r="U17" s="7" t="s">
        <v>232</v>
      </c>
      <c r="V17" s="7" t="s">
        <v>233</v>
      </c>
      <c r="W17" s="7"/>
      <c r="X17" s="7" t="s">
        <v>183</v>
      </c>
      <c r="Y17" s="7" t="s">
        <v>183</v>
      </c>
      <c r="AB17" s="7"/>
      <c r="AC17" s="7"/>
      <c r="AD17" s="41"/>
      <c r="AE17" s="7"/>
    </row>
    <row r="18" spans="1:31" ht="30" customHeight="1" x14ac:dyDescent="0.35">
      <c r="A18" s="3">
        <v>45976</v>
      </c>
      <c r="B18" s="25" t="str">
        <f t="shared" si="0"/>
        <v>Saturday</v>
      </c>
      <c r="C18" s="7" t="s">
        <v>248</v>
      </c>
      <c r="D18" s="7" t="s">
        <v>180</v>
      </c>
      <c r="E18" s="7" t="s">
        <v>179</v>
      </c>
      <c r="F18" s="7" t="s">
        <v>181</v>
      </c>
      <c r="G18" s="7" t="s">
        <v>156</v>
      </c>
      <c r="H18" s="7" t="s">
        <v>203</v>
      </c>
      <c r="I18" s="7" t="s">
        <v>182</v>
      </c>
      <c r="J18" s="45" t="s">
        <v>247</v>
      </c>
      <c r="K18" s="45" t="s">
        <v>247</v>
      </c>
      <c r="L18" s="7"/>
      <c r="M18" s="7"/>
      <c r="N18" s="35"/>
      <c r="O18" s="21">
        <v>31</v>
      </c>
      <c r="P18" s="21"/>
      <c r="Q18" s="3">
        <v>45976</v>
      </c>
      <c r="R18" s="25" t="str">
        <f t="shared" si="1"/>
        <v>Saturday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30" customHeight="1" x14ac:dyDescent="0.35">
      <c r="A19" s="3">
        <v>45977</v>
      </c>
      <c r="B19" s="25" t="str">
        <f t="shared" si="0"/>
        <v>Sunday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Q19" s="3">
        <v>45977</v>
      </c>
      <c r="R19" s="25" t="str">
        <f t="shared" si="1"/>
        <v>Sunday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30" customHeight="1" x14ac:dyDescent="0.35">
      <c r="A20" s="3">
        <v>45978</v>
      </c>
      <c r="B20" s="25" t="str">
        <f t="shared" si="0"/>
        <v>Monday</v>
      </c>
      <c r="C20" s="7" t="s">
        <v>171</v>
      </c>
      <c r="D20" s="7" t="s">
        <v>174</v>
      </c>
      <c r="E20" s="7" t="s">
        <v>173</v>
      </c>
      <c r="F20" s="7" t="s">
        <v>172</v>
      </c>
      <c r="G20" s="7"/>
      <c r="H20" s="7" t="s">
        <v>176</v>
      </c>
      <c r="I20" s="41" t="s">
        <v>175</v>
      </c>
      <c r="J20" s="7" t="s">
        <v>177</v>
      </c>
      <c r="K20" s="7" t="s">
        <v>250</v>
      </c>
      <c r="L20" s="7"/>
      <c r="M20" s="7" t="s">
        <v>97</v>
      </c>
      <c r="N20" s="35"/>
      <c r="O20" s="1">
        <v>32</v>
      </c>
      <c r="Q20" s="3">
        <v>45978</v>
      </c>
      <c r="R20" s="25" t="str">
        <f t="shared" si="1"/>
        <v>Monday</v>
      </c>
      <c r="S20" s="7" t="s">
        <v>231</v>
      </c>
      <c r="T20" s="7" t="s">
        <v>234</v>
      </c>
      <c r="U20" s="7" t="s">
        <v>232</v>
      </c>
      <c r="V20" s="7" t="s">
        <v>233</v>
      </c>
      <c r="W20" s="7"/>
      <c r="X20" s="7" t="s">
        <v>183</v>
      </c>
      <c r="Y20" s="7" t="s">
        <v>183</v>
      </c>
      <c r="AB20" s="7"/>
      <c r="AC20" s="7"/>
      <c r="AD20" s="41"/>
      <c r="AE20" s="7"/>
    </row>
    <row r="21" spans="1:31" ht="30" customHeight="1" x14ac:dyDescent="0.35">
      <c r="A21" s="3">
        <v>45979</v>
      </c>
      <c r="B21" s="25" t="str">
        <f t="shared" si="0"/>
        <v>Tuesday</v>
      </c>
      <c r="C21" s="7" t="s">
        <v>197</v>
      </c>
      <c r="D21" s="7" t="s">
        <v>180</v>
      </c>
      <c r="E21" s="7" t="s">
        <v>179</v>
      </c>
      <c r="F21" s="7" t="s">
        <v>181</v>
      </c>
      <c r="G21" s="7" t="s">
        <v>156</v>
      </c>
      <c r="H21" s="7" t="s">
        <v>203</v>
      </c>
      <c r="I21" s="7" t="s">
        <v>182</v>
      </c>
      <c r="J21" s="7" t="s">
        <v>183</v>
      </c>
      <c r="K21" s="7" t="s">
        <v>183</v>
      </c>
      <c r="L21" s="7" t="s">
        <v>43</v>
      </c>
      <c r="M21" s="7" t="s">
        <v>43</v>
      </c>
      <c r="N21" s="35"/>
      <c r="O21" s="1">
        <v>33</v>
      </c>
      <c r="Q21" s="3">
        <v>45979</v>
      </c>
      <c r="R21" s="25" t="str">
        <f t="shared" si="1"/>
        <v>Tuesday</v>
      </c>
      <c r="S21" s="7"/>
      <c r="T21" s="7"/>
      <c r="U21" s="7" t="s">
        <v>230</v>
      </c>
      <c r="V21" s="41" t="s">
        <v>227</v>
      </c>
      <c r="W21" s="7"/>
      <c r="X21" s="7" t="s">
        <v>228</v>
      </c>
      <c r="Y21" s="7" t="s">
        <v>229</v>
      </c>
      <c r="Z21" s="7" t="s">
        <v>38</v>
      </c>
      <c r="AA21" s="7"/>
      <c r="AB21" s="7"/>
      <c r="AC21" s="7"/>
      <c r="AD21" s="41"/>
      <c r="AE21" s="7"/>
    </row>
    <row r="22" spans="1:31" ht="30" customHeight="1" x14ac:dyDescent="0.35">
      <c r="A22" s="3">
        <v>45980</v>
      </c>
      <c r="B22" s="25" t="str">
        <f t="shared" si="0"/>
        <v>Wednesday</v>
      </c>
      <c r="C22" s="7" t="s">
        <v>171</v>
      </c>
      <c r="D22" s="7" t="s">
        <v>174</v>
      </c>
      <c r="E22" s="7" t="s">
        <v>173</v>
      </c>
      <c r="F22" s="7" t="s">
        <v>172</v>
      </c>
      <c r="G22" s="7"/>
      <c r="H22" s="45" t="s">
        <v>254</v>
      </c>
      <c r="I22" s="7" t="s">
        <v>182</v>
      </c>
      <c r="J22" s="7" t="s">
        <v>183</v>
      </c>
      <c r="K22" s="7" t="s">
        <v>183</v>
      </c>
      <c r="L22" s="7" t="s">
        <v>184</v>
      </c>
      <c r="M22" s="45" t="s">
        <v>251</v>
      </c>
      <c r="N22" s="35"/>
      <c r="O22" s="1">
        <v>34</v>
      </c>
      <c r="Q22" s="3">
        <v>45980</v>
      </c>
      <c r="R22" s="25" t="str">
        <f t="shared" si="1"/>
        <v>Wednesday</v>
      </c>
      <c r="S22" s="7" t="s">
        <v>231</v>
      </c>
      <c r="T22" s="7" t="s">
        <v>234</v>
      </c>
      <c r="U22" s="7" t="s">
        <v>232</v>
      </c>
      <c r="V22" s="7" t="s">
        <v>233</v>
      </c>
      <c r="W22" s="7"/>
      <c r="X22" s="7" t="s">
        <v>183</v>
      </c>
      <c r="Y22" s="7" t="s">
        <v>183</v>
      </c>
      <c r="AB22" s="7"/>
      <c r="AC22" s="7"/>
      <c r="AD22" s="41"/>
      <c r="AE22" s="7"/>
    </row>
    <row r="23" spans="1:31" ht="30" customHeight="1" x14ac:dyDescent="0.35">
      <c r="A23" s="3">
        <v>45981</v>
      </c>
      <c r="B23" s="25" t="str">
        <f t="shared" si="0"/>
        <v>Thursday</v>
      </c>
      <c r="C23" s="7" t="s">
        <v>197</v>
      </c>
      <c r="D23" s="7" t="s">
        <v>180</v>
      </c>
      <c r="E23" s="7" t="s">
        <v>179</v>
      </c>
      <c r="F23" s="7" t="s">
        <v>181</v>
      </c>
      <c r="G23" s="7"/>
      <c r="H23" s="7" t="s">
        <v>176</v>
      </c>
      <c r="I23" s="41" t="s">
        <v>175</v>
      </c>
      <c r="J23" s="7" t="s">
        <v>177</v>
      </c>
      <c r="K23" s="7" t="s">
        <v>178</v>
      </c>
      <c r="L23" s="7" t="s">
        <v>38</v>
      </c>
      <c r="M23" s="7" t="s">
        <v>97</v>
      </c>
      <c r="N23" s="7" t="s">
        <v>97</v>
      </c>
      <c r="O23" s="1">
        <v>35</v>
      </c>
      <c r="Q23" s="3">
        <v>45981</v>
      </c>
      <c r="R23" s="25" t="str">
        <f t="shared" si="1"/>
        <v>Thursday</v>
      </c>
      <c r="S23" s="7"/>
      <c r="T23" s="7"/>
      <c r="U23" s="7" t="s">
        <v>230</v>
      </c>
      <c r="V23" s="41" t="s">
        <v>227</v>
      </c>
      <c r="W23" s="7"/>
      <c r="X23" s="7" t="s">
        <v>228</v>
      </c>
      <c r="Y23" s="7" t="s">
        <v>229</v>
      </c>
      <c r="Z23" s="7" t="s">
        <v>38</v>
      </c>
      <c r="AA23" s="7"/>
      <c r="AB23" s="7"/>
      <c r="AC23" s="7"/>
      <c r="AD23" s="41"/>
      <c r="AE23" s="7"/>
    </row>
    <row r="24" spans="1:31" ht="30" customHeight="1" x14ac:dyDescent="0.35">
      <c r="A24" s="3">
        <v>45982</v>
      </c>
      <c r="B24" s="25" t="str">
        <f t="shared" si="0"/>
        <v>Friday</v>
      </c>
      <c r="C24" s="7" t="s">
        <v>171</v>
      </c>
      <c r="D24" s="7" t="s">
        <v>174</v>
      </c>
      <c r="E24" s="7" t="s">
        <v>173</v>
      </c>
      <c r="F24" s="7" t="s">
        <v>172</v>
      </c>
      <c r="G24" s="7"/>
      <c r="H24" s="7" t="s">
        <v>176</v>
      </c>
      <c r="I24" s="41" t="s">
        <v>175</v>
      </c>
      <c r="J24" s="45" t="s">
        <v>252</v>
      </c>
      <c r="K24" s="45" t="s">
        <v>253</v>
      </c>
      <c r="L24" s="7" t="s">
        <v>38</v>
      </c>
      <c r="M24" s="45" t="s">
        <v>52</v>
      </c>
      <c r="N24" s="45" t="s">
        <v>53</v>
      </c>
      <c r="O24" s="1">
        <v>36</v>
      </c>
      <c r="Q24" s="3">
        <v>45982</v>
      </c>
      <c r="R24" s="25" t="str">
        <f t="shared" si="1"/>
        <v>Friday</v>
      </c>
      <c r="S24" s="7" t="s">
        <v>231</v>
      </c>
      <c r="T24" s="7" t="s">
        <v>234</v>
      </c>
      <c r="U24" s="7" t="s">
        <v>232</v>
      </c>
      <c r="V24" s="7" t="s">
        <v>233</v>
      </c>
      <c r="W24" s="7"/>
      <c r="X24" s="7" t="s">
        <v>183</v>
      </c>
      <c r="Y24" s="7" t="s">
        <v>183</v>
      </c>
      <c r="AB24" s="7"/>
      <c r="AC24" s="7"/>
      <c r="AD24" s="41"/>
      <c r="AE24" s="7"/>
    </row>
    <row r="25" spans="1:31" ht="30" customHeight="1" x14ac:dyDescent="0.35">
      <c r="A25" s="3">
        <v>45983</v>
      </c>
      <c r="B25" s="25" t="str">
        <f t="shared" si="0"/>
        <v>Saturday</v>
      </c>
      <c r="C25" s="7" t="s">
        <v>43</v>
      </c>
      <c r="D25" s="7" t="s">
        <v>43</v>
      </c>
      <c r="E25" s="7" t="s">
        <v>109</v>
      </c>
      <c r="F25" s="8"/>
      <c r="G25" s="8"/>
      <c r="H25" s="7" t="s">
        <v>213</v>
      </c>
      <c r="I25" s="7" t="s">
        <v>110</v>
      </c>
      <c r="J25" s="7" t="s">
        <v>184</v>
      </c>
      <c r="K25" s="7" t="s">
        <v>184</v>
      </c>
      <c r="L25" s="8"/>
      <c r="M25" s="8"/>
      <c r="N25" s="8"/>
      <c r="O25" s="21"/>
      <c r="P25" s="21"/>
      <c r="Q25" s="3">
        <v>45983</v>
      </c>
      <c r="R25" s="25" t="str">
        <f t="shared" si="1"/>
        <v>Saturday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30" customHeight="1" x14ac:dyDescent="0.35">
      <c r="A26" s="3">
        <v>45984</v>
      </c>
      <c r="B26" s="25" t="str">
        <f t="shared" si="0"/>
        <v>Sunday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Q26" s="3">
        <v>45984</v>
      </c>
      <c r="R26" s="25" t="str">
        <f t="shared" si="1"/>
        <v>Sunday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30" customHeight="1" x14ac:dyDescent="0.35">
      <c r="A27" s="3">
        <v>45985</v>
      </c>
      <c r="B27" s="25" t="str">
        <f t="shared" si="0"/>
        <v>Monday</v>
      </c>
      <c r="C27" s="7" t="s">
        <v>171</v>
      </c>
      <c r="D27" s="7" t="s">
        <v>174</v>
      </c>
      <c r="E27" s="7" t="s">
        <v>173</v>
      </c>
      <c r="F27" s="7" t="s">
        <v>172</v>
      </c>
      <c r="G27" s="7"/>
      <c r="H27" s="7" t="s">
        <v>176</v>
      </c>
      <c r="I27" s="41" t="s">
        <v>175</v>
      </c>
      <c r="J27" s="7" t="s">
        <v>177</v>
      </c>
      <c r="K27" s="7" t="s">
        <v>178</v>
      </c>
      <c r="L27" s="7" t="s">
        <v>38</v>
      </c>
      <c r="M27" s="7" t="s">
        <v>97</v>
      </c>
      <c r="N27" s="35"/>
      <c r="O27" s="1">
        <v>37</v>
      </c>
      <c r="Q27" s="3">
        <v>45985</v>
      </c>
      <c r="R27" s="25" t="str">
        <f t="shared" si="1"/>
        <v>Monday</v>
      </c>
      <c r="S27" s="7" t="s">
        <v>231</v>
      </c>
      <c r="T27" s="7" t="s">
        <v>234</v>
      </c>
      <c r="U27" s="7" t="s">
        <v>232</v>
      </c>
      <c r="V27" s="7" t="s">
        <v>233</v>
      </c>
      <c r="W27" s="7"/>
      <c r="X27" s="7" t="s">
        <v>183</v>
      </c>
      <c r="Y27" s="7" t="s">
        <v>183</v>
      </c>
      <c r="AB27" s="7"/>
      <c r="AC27" s="7"/>
      <c r="AD27" s="41"/>
      <c r="AE27" s="7"/>
    </row>
    <row r="28" spans="1:31" ht="30" customHeight="1" x14ac:dyDescent="0.35">
      <c r="A28" s="3">
        <v>45986</v>
      </c>
      <c r="B28" s="25" t="str">
        <f t="shared" si="0"/>
        <v>Tuesday</v>
      </c>
      <c r="C28" s="7" t="s">
        <v>197</v>
      </c>
      <c r="D28" s="7" t="s">
        <v>180</v>
      </c>
      <c r="E28" s="7" t="s">
        <v>179</v>
      </c>
      <c r="F28" s="7" t="s">
        <v>181</v>
      </c>
      <c r="G28" s="7" t="s">
        <v>156</v>
      </c>
      <c r="H28" s="7" t="s">
        <v>203</v>
      </c>
      <c r="I28" s="7" t="s">
        <v>182</v>
      </c>
      <c r="J28" s="7" t="s">
        <v>183</v>
      </c>
      <c r="K28" s="7" t="s">
        <v>183</v>
      </c>
      <c r="L28" s="7" t="s">
        <v>43</v>
      </c>
      <c r="M28" s="7" t="s">
        <v>43</v>
      </c>
      <c r="N28" s="35"/>
      <c r="O28" s="1">
        <v>38</v>
      </c>
      <c r="Q28" s="3">
        <v>45986</v>
      </c>
      <c r="R28" s="25" t="str">
        <f t="shared" si="1"/>
        <v>Tuesday</v>
      </c>
      <c r="S28" s="7"/>
      <c r="T28" s="7"/>
      <c r="U28" s="7" t="s">
        <v>230</v>
      </c>
      <c r="V28" s="41" t="s">
        <v>227</v>
      </c>
      <c r="W28" s="7"/>
      <c r="X28" s="7" t="s">
        <v>228</v>
      </c>
      <c r="Y28" s="7" t="s">
        <v>229</v>
      </c>
      <c r="Z28" s="7" t="s">
        <v>38</v>
      </c>
      <c r="AA28" s="7"/>
      <c r="AB28" s="7"/>
      <c r="AC28" s="7"/>
      <c r="AD28" s="41"/>
      <c r="AE28" s="7"/>
    </row>
    <row r="29" spans="1:31" ht="30" customHeight="1" x14ac:dyDescent="0.35">
      <c r="A29" s="3">
        <v>45987</v>
      </c>
      <c r="B29" s="25" t="str">
        <f t="shared" si="0"/>
        <v>Wednesday</v>
      </c>
      <c r="C29" s="7" t="s">
        <v>171</v>
      </c>
      <c r="D29" s="7" t="s">
        <v>174</v>
      </c>
      <c r="E29" s="7" t="s">
        <v>173</v>
      </c>
      <c r="F29" s="7" t="s">
        <v>172</v>
      </c>
      <c r="G29" s="7" t="s">
        <v>257</v>
      </c>
      <c r="H29" s="7"/>
      <c r="I29" s="7" t="s">
        <v>182</v>
      </c>
      <c r="J29" s="7" t="s">
        <v>183</v>
      </c>
      <c r="K29" s="7" t="s">
        <v>183</v>
      </c>
      <c r="L29" s="7" t="s">
        <v>184</v>
      </c>
      <c r="M29" s="45" t="s">
        <v>251</v>
      </c>
      <c r="N29" s="35"/>
      <c r="O29" s="1">
        <v>39</v>
      </c>
      <c r="Q29" s="3">
        <v>45987</v>
      </c>
      <c r="R29" s="25" t="str">
        <f t="shared" si="1"/>
        <v>Wednesday</v>
      </c>
      <c r="S29" s="7" t="s">
        <v>231</v>
      </c>
      <c r="T29" s="7" t="s">
        <v>234</v>
      </c>
      <c r="U29" s="7" t="s">
        <v>232</v>
      </c>
      <c r="V29" s="7" t="s">
        <v>233</v>
      </c>
      <c r="W29" s="7"/>
      <c r="X29" s="7" t="s">
        <v>183</v>
      </c>
      <c r="Y29" s="7" t="s">
        <v>183</v>
      </c>
      <c r="AB29" s="7"/>
      <c r="AC29" s="7"/>
      <c r="AD29" s="41"/>
      <c r="AE29" s="7"/>
    </row>
    <row r="30" spans="1:31" ht="30" customHeight="1" x14ac:dyDescent="0.35">
      <c r="A30" s="3">
        <v>45988</v>
      </c>
      <c r="B30" s="25" t="str">
        <f t="shared" si="0"/>
        <v>Thursday</v>
      </c>
      <c r="C30" s="7" t="s">
        <v>197</v>
      </c>
      <c r="D30" s="7" t="s">
        <v>180</v>
      </c>
      <c r="E30" s="7" t="s">
        <v>179</v>
      </c>
      <c r="F30" s="7" t="s">
        <v>181</v>
      </c>
      <c r="G30" s="7"/>
      <c r="H30" s="7" t="s">
        <v>176</v>
      </c>
      <c r="I30" s="41" t="s">
        <v>175</v>
      </c>
      <c r="J30" s="7" t="s">
        <v>177</v>
      </c>
      <c r="K30" s="7" t="s">
        <v>178</v>
      </c>
      <c r="L30" s="7" t="s">
        <v>38</v>
      </c>
      <c r="M30" s="7" t="s">
        <v>97</v>
      </c>
      <c r="N30" s="35" t="s">
        <v>97</v>
      </c>
      <c r="O30" s="1">
        <v>40</v>
      </c>
      <c r="Q30" s="3">
        <v>45988</v>
      </c>
      <c r="R30" s="25" t="str">
        <f t="shared" si="1"/>
        <v>Thursday</v>
      </c>
      <c r="S30" s="7"/>
      <c r="T30" s="7"/>
      <c r="U30" s="7" t="s">
        <v>230</v>
      </c>
      <c r="V30" s="41" t="s">
        <v>227</v>
      </c>
      <c r="W30" s="7"/>
      <c r="X30" s="7" t="s">
        <v>228</v>
      </c>
      <c r="Y30" s="7" t="s">
        <v>229</v>
      </c>
      <c r="Z30" s="7" t="s">
        <v>38</v>
      </c>
      <c r="AA30" s="7"/>
      <c r="AB30" s="7"/>
      <c r="AC30" s="7"/>
      <c r="AD30" s="41"/>
      <c r="AE30" s="7"/>
    </row>
    <row r="31" spans="1:31" ht="30" customHeight="1" x14ac:dyDescent="0.35">
      <c r="A31" s="3">
        <v>45989</v>
      </c>
      <c r="B31" s="25" t="str">
        <f t="shared" si="0"/>
        <v>Friday</v>
      </c>
      <c r="C31" s="7" t="s">
        <v>171</v>
      </c>
      <c r="D31" s="7" t="s">
        <v>174</v>
      </c>
      <c r="E31" s="7" t="s">
        <v>173</v>
      </c>
      <c r="F31" s="7" t="s">
        <v>172</v>
      </c>
      <c r="G31" s="7"/>
      <c r="H31" s="7" t="s">
        <v>176</v>
      </c>
      <c r="I31" s="41" t="s">
        <v>175</v>
      </c>
      <c r="J31" s="7" t="s">
        <v>198</v>
      </c>
      <c r="K31" s="7" t="s">
        <v>39</v>
      </c>
      <c r="L31" s="7" t="s">
        <v>38</v>
      </c>
      <c r="M31" s="45" t="s">
        <v>52</v>
      </c>
      <c r="N31" s="35"/>
      <c r="O31" s="1">
        <v>41</v>
      </c>
      <c r="Q31" s="3">
        <v>45989</v>
      </c>
      <c r="R31" s="25" t="str">
        <f t="shared" si="1"/>
        <v>Friday</v>
      </c>
      <c r="S31" s="7" t="s">
        <v>231</v>
      </c>
      <c r="T31" s="7" t="s">
        <v>234</v>
      </c>
      <c r="U31" s="7" t="s">
        <v>232</v>
      </c>
      <c r="V31" s="7" t="s">
        <v>233</v>
      </c>
      <c r="W31" s="7"/>
      <c r="X31" s="7" t="s">
        <v>183</v>
      </c>
      <c r="Y31" s="7" t="s">
        <v>183</v>
      </c>
      <c r="AB31" s="7"/>
      <c r="AC31" s="7"/>
      <c r="AD31" s="41"/>
      <c r="AE31" s="7"/>
    </row>
    <row r="32" spans="1:31" ht="30" customHeight="1" x14ac:dyDescent="0.35">
      <c r="A32" s="3">
        <v>45990</v>
      </c>
      <c r="B32" s="25" t="str">
        <f t="shared" si="0"/>
        <v>Saturday</v>
      </c>
      <c r="C32" s="7" t="s">
        <v>248</v>
      </c>
      <c r="D32" s="7" t="s">
        <v>180</v>
      </c>
      <c r="E32" s="7" t="s">
        <v>179</v>
      </c>
      <c r="F32" s="7" t="s">
        <v>181</v>
      </c>
      <c r="G32" s="7" t="s">
        <v>156</v>
      </c>
      <c r="H32" s="7" t="s">
        <v>203</v>
      </c>
      <c r="I32" s="7" t="s">
        <v>182</v>
      </c>
      <c r="J32" s="45" t="s">
        <v>247</v>
      </c>
      <c r="K32" s="45" t="s">
        <v>247</v>
      </c>
      <c r="L32" s="7" t="s">
        <v>38</v>
      </c>
      <c r="M32" s="7" t="s">
        <v>39</v>
      </c>
      <c r="N32" s="35"/>
      <c r="O32" s="1">
        <v>42</v>
      </c>
      <c r="Q32" s="3">
        <v>45990</v>
      </c>
      <c r="R32" s="25" t="str">
        <f t="shared" si="1"/>
        <v>Saturday</v>
      </c>
      <c r="S32" s="7"/>
      <c r="T32" s="7"/>
      <c r="U32" s="7"/>
      <c r="V32" s="7"/>
      <c r="W32" s="31"/>
      <c r="X32" s="7"/>
      <c r="Y32" s="7"/>
      <c r="Z32" s="7"/>
      <c r="AA32" s="7"/>
      <c r="AB32" s="7"/>
      <c r="AC32" s="7"/>
      <c r="AD32" s="41"/>
      <c r="AE32" s="35"/>
    </row>
    <row r="33" spans="1:31" ht="30" customHeight="1" x14ac:dyDescent="0.35">
      <c r="A33" s="3">
        <v>45991</v>
      </c>
      <c r="B33" s="25" t="str">
        <f t="shared" ref="B33:B69" si="2">TEXT(A33,"dddd")</f>
        <v>Sunday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Q33" s="3">
        <v>45991</v>
      </c>
      <c r="R33" s="25" t="str">
        <f t="shared" si="1"/>
        <v>Sunday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30" customHeight="1" x14ac:dyDescent="0.35">
      <c r="A34" s="3">
        <v>45992</v>
      </c>
      <c r="B34" s="25" t="str">
        <f t="shared" si="2"/>
        <v>Monday</v>
      </c>
      <c r="C34" s="7" t="s">
        <v>171</v>
      </c>
      <c r="D34" s="7" t="s">
        <v>174</v>
      </c>
      <c r="E34" s="7" t="s">
        <v>173</v>
      </c>
      <c r="F34" s="7" t="s">
        <v>172</v>
      </c>
      <c r="G34" s="7"/>
      <c r="H34" s="7" t="s">
        <v>176</v>
      </c>
      <c r="I34" s="41" t="s">
        <v>175</v>
      </c>
      <c r="J34" s="7" t="s">
        <v>177</v>
      </c>
      <c r="K34" s="7" t="s">
        <v>178</v>
      </c>
      <c r="L34" s="7" t="s">
        <v>38</v>
      </c>
      <c r="M34" s="7" t="s">
        <v>97</v>
      </c>
      <c r="N34" s="35"/>
      <c r="O34" s="1">
        <v>43</v>
      </c>
      <c r="Q34" s="3">
        <v>45992</v>
      </c>
      <c r="R34" s="25" t="str">
        <f t="shared" si="1"/>
        <v>Monday</v>
      </c>
      <c r="S34" s="7" t="s">
        <v>231</v>
      </c>
      <c r="T34" s="7" t="s">
        <v>234</v>
      </c>
      <c r="U34" s="7" t="s">
        <v>232</v>
      </c>
      <c r="V34" s="7" t="s">
        <v>233</v>
      </c>
      <c r="W34" s="7"/>
      <c r="X34" s="7" t="s">
        <v>183</v>
      </c>
      <c r="Y34" s="7" t="s">
        <v>183</v>
      </c>
      <c r="AB34" s="7"/>
      <c r="AC34" s="7"/>
      <c r="AD34" s="41"/>
      <c r="AE34" s="7"/>
    </row>
    <row r="35" spans="1:31" ht="30" customHeight="1" x14ac:dyDescent="0.35">
      <c r="A35" s="3">
        <v>45993</v>
      </c>
      <c r="B35" s="25" t="str">
        <f t="shared" si="2"/>
        <v>Tuesday</v>
      </c>
      <c r="C35" s="7" t="s">
        <v>197</v>
      </c>
      <c r="D35" s="7" t="s">
        <v>180</v>
      </c>
      <c r="E35" s="7" t="s">
        <v>179</v>
      </c>
      <c r="F35" s="7" t="s">
        <v>181</v>
      </c>
      <c r="G35" s="7" t="s">
        <v>156</v>
      </c>
      <c r="H35" s="7" t="s">
        <v>203</v>
      </c>
      <c r="I35" s="7" t="s">
        <v>182</v>
      </c>
      <c r="J35" s="7" t="s">
        <v>183</v>
      </c>
      <c r="K35" s="7" t="s">
        <v>183</v>
      </c>
      <c r="L35" s="7" t="s">
        <v>43</v>
      </c>
      <c r="M35" s="7" t="s">
        <v>43</v>
      </c>
      <c r="N35" s="35"/>
      <c r="O35" s="1">
        <v>44</v>
      </c>
      <c r="Q35" s="3">
        <v>45993</v>
      </c>
      <c r="R35" s="25" t="str">
        <f t="shared" ref="R35:R69" si="3">TEXT(Q35,"dddd")</f>
        <v>Tuesday</v>
      </c>
      <c r="S35" s="7"/>
      <c r="T35" s="7"/>
      <c r="U35" s="7" t="s">
        <v>230</v>
      </c>
      <c r="V35" s="41" t="s">
        <v>227</v>
      </c>
      <c r="W35" s="7"/>
      <c r="X35" s="7" t="s">
        <v>228</v>
      </c>
      <c r="Y35" s="7" t="s">
        <v>229</v>
      </c>
      <c r="Z35" s="7" t="s">
        <v>38</v>
      </c>
      <c r="AA35" s="7"/>
      <c r="AB35" s="7"/>
      <c r="AC35" s="7"/>
      <c r="AD35" s="41"/>
      <c r="AE35" s="7"/>
    </row>
    <row r="36" spans="1:31" ht="30" customHeight="1" x14ac:dyDescent="0.35">
      <c r="A36" s="3">
        <v>45994</v>
      </c>
      <c r="B36" s="25" t="str">
        <f t="shared" si="2"/>
        <v>Wednesday</v>
      </c>
      <c r="C36" s="7" t="s">
        <v>171</v>
      </c>
      <c r="D36" s="7" t="s">
        <v>174</v>
      </c>
      <c r="E36" s="7" t="s">
        <v>173</v>
      </c>
      <c r="F36" s="7" t="s">
        <v>172</v>
      </c>
      <c r="G36" s="7"/>
      <c r="H36" s="7" t="s">
        <v>203</v>
      </c>
      <c r="I36" s="7" t="s">
        <v>182</v>
      </c>
      <c r="J36" s="7" t="s">
        <v>183</v>
      </c>
      <c r="K36" s="7" t="s">
        <v>183</v>
      </c>
      <c r="L36" s="7" t="s">
        <v>184</v>
      </c>
      <c r="M36" s="45" t="s">
        <v>251</v>
      </c>
      <c r="N36" s="35"/>
      <c r="O36" s="1">
        <v>45</v>
      </c>
      <c r="Q36" s="3">
        <v>45994</v>
      </c>
      <c r="R36" s="25" t="str">
        <f t="shared" si="3"/>
        <v>Wednesday</v>
      </c>
      <c r="S36" s="7" t="s">
        <v>231</v>
      </c>
      <c r="T36" s="7" t="s">
        <v>234</v>
      </c>
      <c r="U36" s="7" t="s">
        <v>232</v>
      </c>
      <c r="V36" s="7" t="s">
        <v>233</v>
      </c>
      <c r="W36" s="7"/>
      <c r="X36" s="7" t="s">
        <v>183</v>
      </c>
      <c r="Y36" s="7" t="s">
        <v>183</v>
      </c>
      <c r="AB36" s="7"/>
      <c r="AC36" s="7"/>
      <c r="AD36" s="41"/>
      <c r="AE36" s="7"/>
    </row>
    <row r="37" spans="1:31" ht="30" customHeight="1" x14ac:dyDescent="0.35">
      <c r="A37" s="3">
        <v>45995</v>
      </c>
      <c r="B37" s="25" t="str">
        <f t="shared" si="2"/>
        <v>Thursday</v>
      </c>
      <c r="C37" s="7" t="s">
        <v>197</v>
      </c>
      <c r="D37" s="7" t="s">
        <v>180</v>
      </c>
      <c r="E37" s="7" t="s">
        <v>179</v>
      </c>
      <c r="F37" s="7" t="s">
        <v>181</v>
      </c>
      <c r="G37" s="7"/>
      <c r="H37" s="7" t="s">
        <v>176</v>
      </c>
      <c r="I37" s="41" t="s">
        <v>175</v>
      </c>
      <c r="J37" s="7" t="s">
        <v>177</v>
      </c>
      <c r="K37" s="7" t="s">
        <v>178</v>
      </c>
      <c r="L37" s="7" t="s">
        <v>38</v>
      </c>
      <c r="M37" s="7" t="s">
        <v>97</v>
      </c>
      <c r="N37" s="35" t="s">
        <v>97</v>
      </c>
      <c r="O37" s="1">
        <v>46</v>
      </c>
      <c r="Q37" s="3">
        <v>45995</v>
      </c>
      <c r="R37" s="25" t="str">
        <f t="shared" si="3"/>
        <v>Thursday</v>
      </c>
      <c r="S37" s="7"/>
      <c r="T37" s="7"/>
      <c r="U37" s="7" t="s">
        <v>230</v>
      </c>
      <c r="V37" s="41" t="s">
        <v>227</v>
      </c>
      <c r="W37" s="7"/>
      <c r="X37" s="7" t="s">
        <v>228</v>
      </c>
      <c r="Y37" s="7" t="s">
        <v>229</v>
      </c>
      <c r="Z37" s="7" t="s">
        <v>38</v>
      </c>
      <c r="AA37" s="7"/>
      <c r="AB37" s="7"/>
      <c r="AC37" s="7"/>
      <c r="AD37" s="41"/>
      <c r="AE37" s="7"/>
    </row>
    <row r="38" spans="1:31" ht="30" customHeight="1" x14ac:dyDescent="0.35">
      <c r="A38" s="3">
        <v>45996</v>
      </c>
      <c r="B38" s="25" t="str">
        <f t="shared" si="2"/>
        <v>Friday</v>
      </c>
      <c r="C38" s="7" t="s">
        <v>171</v>
      </c>
      <c r="D38" s="7" t="s">
        <v>174</v>
      </c>
      <c r="E38" s="7" t="s">
        <v>173</v>
      </c>
      <c r="F38" s="7" t="s">
        <v>172</v>
      </c>
      <c r="G38" s="7"/>
      <c r="H38" s="7" t="s">
        <v>176</v>
      </c>
      <c r="I38" s="41" t="s">
        <v>175</v>
      </c>
      <c r="J38" s="7" t="s">
        <v>198</v>
      </c>
      <c r="K38" s="7" t="s">
        <v>39</v>
      </c>
      <c r="L38" s="7" t="s">
        <v>38</v>
      </c>
      <c r="M38" s="45" t="s">
        <v>52</v>
      </c>
      <c r="N38" s="45" t="s">
        <v>53</v>
      </c>
      <c r="O38" s="1">
        <v>47</v>
      </c>
      <c r="Q38" s="3">
        <v>45996</v>
      </c>
      <c r="R38" s="25" t="str">
        <f t="shared" si="3"/>
        <v>Friday</v>
      </c>
      <c r="S38" s="7" t="s">
        <v>231</v>
      </c>
      <c r="T38" s="7" t="s">
        <v>234</v>
      </c>
      <c r="U38" s="7" t="s">
        <v>232</v>
      </c>
      <c r="V38" s="7" t="s">
        <v>233</v>
      </c>
      <c r="W38" s="7"/>
      <c r="X38" s="7" t="s">
        <v>183</v>
      </c>
      <c r="Y38" s="7" t="s">
        <v>183</v>
      </c>
      <c r="AB38" s="7"/>
      <c r="AC38" s="7"/>
      <c r="AD38" s="41"/>
      <c r="AE38" s="7"/>
    </row>
    <row r="39" spans="1:31" ht="30" customHeight="1" x14ac:dyDescent="0.35">
      <c r="A39" s="3">
        <v>45997</v>
      </c>
      <c r="B39" s="25" t="str">
        <f t="shared" si="2"/>
        <v>Saturday</v>
      </c>
      <c r="C39" s="7" t="s">
        <v>197</v>
      </c>
      <c r="D39" s="7" t="s">
        <v>180</v>
      </c>
      <c r="E39" s="7" t="s">
        <v>179</v>
      </c>
      <c r="F39" s="7" t="s">
        <v>181</v>
      </c>
      <c r="G39" s="7" t="s">
        <v>156</v>
      </c>
      <c r="H39" s="7" t="s">
        <v>203</v>
      </c>
      <c r="I39" s="7" t="s">
        <v>182</v>
      </c>
      <c r="J39" s="45" t="s">
        <v>247</v>
      </c>
      <c r="K39" s="45" t="s">
        <v>247</v>
      </c>
      <c r="L39" s="7"/>
      <c r="M39" s="7"/>
      <c r="N39" s="35"/>
      <c r="O39" s="1">
        <v>48</v>
      </c>
      <c r="Q39" s="3">
        <v>45997</v>
      </c>
      <c r="R39" s="25" t="str">
        <f t="shared" si="3"/>
        <v>Saturday</v>
      </c>
      <c r="S39" s="7"/>
      <c r="T39" s="7"/>
      <c r="U39" s="7"/>
      <c r="V39" s="7"/>
      <c r="W39" s="31"/>
      <c r="X39" s="7"/>
      <c r="Y39" s="7"/>
      <c r="Z39" s="7"/>
      <c r="AA39" s="7"/>
      <c r="AB39" s="7"/>
      <c r="AC39" s="7"/>
      <c r="AD39" s="41"/>
      <c r="AE39" s="35"/>
    </row>
    <row r="40" spans="1:31" ht="30" customHeight="1" x14ac:dyDescent="0.35">
      <c r="A40" s="3">
        <v>45998</v>
      </c>
      <c r="B40" s="25" t="str">
        <f t="shared" si="2"/>
        <v>Sunday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Q40" s="3">
        <v>45998</v>
      </c>
      <c r="R40" s="25" t="str">
        <f t="shared" si="3"/>
        <v>Sunday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30" customHeight="1" x14ac:dyDescent="0.35">
      <c r="A41" s="3">
        <v>45999</v>
      </c>
      <c r="B41" s="25" t="str">
        <f t="shared" si="2"/>
        <v>Monday</v>
      </c>
      <c r="C41" s="7" t="s">
        <v>171</v>
      </c>
      <c r="D41" s="7" t="s">
        <v>174</v>
      </c>
      <c r="E41" s="7" t="s">
        <v>173</v>
      </c>
      <c r="F41" s="7" t="s">
        <v>172</v>
      </c>
      <c r="G41" s="7"/>
      <c r="H41" s="7" t="s">
        <v>176</v>
      </c>
      <c r="I41" s="41" t="s">
        <v>175</v>
      </c>
      <c r="J41" s="7" t="s">
        <v>177</v>
      </c>
      <c r="K41" s="7" t="s">
        <v>178</v>
      </c>
      <c r="L41" s="7" t="s">
        <v>38</v>
      </c>
      <c r="M41" s="7" t="s">
        <v>97</v>
      </c>
      <c r="N41" s="35"/>
      <c r="O41" s="1">
        <v>49</v>
      </c>
      <c r="Q41" s="3">
        <v>45999</v>
      </c>
      <c r="R41" s="25" t="str">
        <f t="shared" si="3"/>
        <v>Monday</v>
      </c>
      <c r="S41" s="7" t="s">
        <v>231</v>
      </c>
      <c r="T41" s="7" t="s">
        <v>234</v>
      </c>
      <c r="U41" s="7" t="s">
        <v>232</v>
      </c>
      <c r="V41" s="7" t="s">
        <v>233</v>
      </c>
      <c r="W41" s="7"/>
      <c r="X41" s="7" t="s">
        <v>183</v>
      </c>
      <c r="Y41" s="7" t="s">
        <v>183</v>
      </c>
      <c r="AB41" s="7"/>
      <c r="AC41" s="7"/>
      <c r="AD41" s="41"/>
      <c r="AE41" s="7"/>
    </row>
    <row r="42" spans="1:31" ht="30" customHeight="1" x14ac:dyDescent="0.35">
      <c r="A42" s="3">
        <v>46000</v>
      </c>
      <c r="B42" s="25" t="str">
        <f t="shared" si="2"/>
        <v>Tuesday</v>
      </c>
      <c r="C42" s="7" t="s">
        <v>197</v>
      </c>
      <c r="D42" s="7" t="s">
        <v>180</v>
      </c>
      <c r="E42" s="7" t="s">
        <v>179</v>
      </c>
      <c r="F42" s="7" t="s">
        <v>181</v>
      </c>
      <c r="G42" s="7" t="s">
        <v>156</v>
      </c>
      <c r="H42" s="7" t="s">
        <v>203</v>
      </c>
      <c r="I42" s="7" t="s">
        <v>182</v>
      </c>
      <c r="J42" s="7" t="s">
        <v>183</v>
      </c>
      <c r="K42" s="7" t="s">
        <v>183</v>
      </c>
      <c r="L42" s="7" t="s">
        <v>43</v>
      </c>
      <c r="M42" s="7" t="s">
        <v>43</v>
      </c>
      <c r="N42" s="35"/>
      <c r="O42" s="1">
        <v>50</v>
      </c>
      <c r="Q42" s="3">
        <v>46000</v>
      </c>
      <c r="R42" s="25" t="str">
        <f t="shared" si="3"/>
        <v>Tuesday</v>
      </c>
      <c r="S42" s="7"/>
      <c r="T42" s="7"/>
      <c r="U42" s="7" t="s">
        <v>230</v>
      </c>
      <c r="V42" s="41" t="s">
        <v>227</v>
      </c>
      <c r="W42" s="7"/>
      <c r="X42" s="7" t="s">
        <v>228</v>
      </c>
      <c r="Y42" s="7" t="s">
        <v>229</v>
      </c>
      <c r="Z42" s="7" t="s">
        <v>38</v>
      </c>
      <c r="AA42" s="7"/>
      <c r="AB42" s="7"/>
      <c r="AC42" s="7"/>
      <c r="AD42" s="41"/>
      <c r="AE42" s="7"/>
    </row>
    <row r="43" spans="1:31" ht="30" customHeight="1" x14ac:dyDescent="0.35">
      <c r="A43" s="3">
        <v>46001</v>
      </c>
      <c r="B43" s="25" t="str">
        <f t="shared" si="2"/>
        <v>Wednesday</v>
      </c>
      <c r="C43" s="7" t="s">
        <v>171</v>
      </c>
      <c r="D43" s="7" t="s">
        <v>174</v>
      </c>
      <c r="E43" s="7" t="s">
        <v>173</v>
      </c>
      <c r="F43" s="7" t="s">
        <v>172</v>
      </c>
      <c r="G43" s="7"/>
      <c r="H43" s="45" t="s">
        <v>254</v>
      </c>
      <c r="I43" s="7" t="s">
        <v>182</v>
      </c>
      <c r="J43" s="7" t="s">
        <v>183</v>
      </c>
      <c r="K43" s="7" t="s">
        <v>183</v>
      </c>
      <c r="L43" s="7" t="s">
        <v>184</v>
      </c>
      <c r="M43" s="7"/>
      <c r="N43" s="35"/>
      <c r="O43" s="1">
        <v>51</v>
      </c>
      <c r="Q43" s="3">
        <v>46001</v>
      </c>
      <c r="R43" s="25" t="str">
        <f t="shared" si="3"/>
        <v>Wednesday</v>
      </c>
      <c r="S43" s="7" t="s">
        <v>231</v>
      </c>
      <c r="T43" s="7" t="s">
        <v>234</v>
      </c>
      <c r="U43" s="7" t="s">
        <v>232</v>
      </c>
      <c r="V43" s="7" t="s">
        <v>233</v>
      </c>
      <c r="W43" s="7"/>
      <c r="X43" s="7" t="s">
        <v>183</v>
      </c>
      <c r="Y43" s="7" t="s">
        <v>183</v>
      </c>
      <c r="AB43" s="7"/>
      <c r="AC43" s="7"/>
      <c r="AD43" s="41"/>
      <c r="AE43" s="7"/>
    </row>
    <row r="44" spans="1:31" ht="30" customHeight="1" x14ac:dyDescent="0.35">
      <c r="A44" s="3">
        <v>46002</v>
      </c>
      <c r="B44" s="25" t="str">
        <f t="shared" si="2"/>
        <v>Thursday</v>
      </c>
      <c r="C44" s="7" t="s">
        <v>197</v>
      </c>
      <c r="D44" s="7" t="s">
        <v>180</v>
      </c>
      <c r="E44" s="7" t="s">
        <v>179</v>
      </c>
      <c r="F44" s="7" t="s">
        <v>181</v>
      </c>
      <c r="G44" s="7"/>
      <c r="H44" s="7" t="s">
        <v>176</v>
      </c>
      <c r="I44" s="41" t="s">
        <v>175</v>
      </c>
      <c r="J44" s="7" t="s">
        <v>177</v>
      </c>
      <c r="K44" s="7" t="s">
        <v>178</v>
      </c>
      <c r="L44" s="7" t="s">
        <v>38</v>
      </c>
      <c r="M44" s="7" t="s">
        <v>97</v>
      </c>
      <c r="N44" s="35" t="s">
        <v>97</v>
      </c>
      <c r="O44" s="1">
        <v>52</v>
      </c>
      <c r="Q44" s="3">
        <v>46002</v>
      </c>
      <c r="R44" s="25" t="str">
        <f t="shared" si="3"/>
        <v>Thursday</v>
      </c>
      <c r="S44" s="7"/>
      <c r="T44" s="7"/>
      <c r="U44" s="7" t="s">
        <v>230</v>
      </c>
      <c r="V44" s="41" t="s">
        <v>227</v>
      </c>
      <c r="W44" s="7"/>
      <c r="X44" s="7" t="s">
        <v>228</v>
      </c>
      <c r="Y44" s="7" t="s">
        <v>229</v>
      </c>
      <c r="Z44" s="7" t="s">
        <v>38</v>
      </c>
      <c r="AA44" s="7"/>
      <c r="AB44" s="7"/>
      <c r="AC44" s="7"/>
      <c r="AD44" s="41"/>
      <c r="AE44" s="7"/>
    </row>
    <row r="45" spans="1:31" ht="30" customHeight="1" x14ac:dyDescent="0.35">
      <c r="A45" s="3">
        <v>46003</v>
      </c>
      <c r="B45" s="25" t="str">
        <f t="shared" si="2"/>
        <v>Friday</v>
      </c>
      <c r="C45" s="7" t="s">
        <v>171</v>
      </c>
      <c r="D45" s="7" t="s">
        <v>174</v>
      </c>
      <c r="E45" s="7" t="s">
        <v>173</v>
      </c>
      <c r="F45" s="7" t="s">
        <v>172</v>
      </c>
      <c r="G45" s="7"/>
      <c r="H45" s="7" t="s">
        <v>176</v>
      </c>
      <c r="I45" s="41" t="s">
        <v>175</v>
      </c>
      <c r="J45" s="7" t="s">
        <v>198</v>
      </c>
      <c r="K45" s="7" t="s">
        <v>39</v>
      </c>
      <c r="L45" s="7" t="s">
        <v>38</v>
      </c>
      <c r="M45" s="45" t="s">
        <v>52</v>
      </c>
      <c r="N45" s="45" t="s">
        <v>53</v>
      </c>
      <c r="O45" s="1">
        <v>53</v>
      </c>
      <c r="Q45" s="3">
        <v>46003</v>
      </c>
      <c r="R45" s="25" t="str">
        <f t="shared" si="3"/>
        <v>Friday</v>
      </c>
      <c r="S45" s="7" t="s">
        <v>231</v>
      </c>
      <c r="T45" s="7" t="s">
        <v>234</v>
      </c>
      <c r="U45" s="7" t="s">
        <v>232</v>
      </c>
      <c r="V45" s="7" t="s">
        <v>233</v>
      </c>
      <c r="W45" s="7"/>
      <c r="X45" s="7" t="s">
        <v>183</v>
      </c>
      <c r="Y45" s="7" t="s">
        <v>183</v>
      </c>
      <c r="AB45" s="7"/>
      <c r="AC45" s="7"/>
      <c r="AD45" s="41"/>
      <c r="AE45" s="7"/>
    </row>
    <row r="46" spans="1:31" ht="30" customHeight="1" x14ac:dyDescent="0.35">
      <c r="A46" s="3">
        <v>46004</v>
      </c>
      <c r="B46" s="25" t="str">
        <f t="shared" si="2"/>
        <v>Saturday</v>
      </c>
      <c r="C46" s="7" t="s">
        <v>43</v>
      </c>
      <c r="D46" s="7" t="s">
        <v>43</v>
      </c>
      <c r="E46" s="7" t="s">
        <v>109</v>
      </c>
      <c r="F46" s="8"/>
      <c r="G46" s="8"/>
      <c r="H46" s="7" t="s">
        <v>213</v>
      </c>
      <c r="I46" s="7" t="s">
        <v>110</v>
      </c>
      <c r="J46" s="7" t="s">
        <v>184</v>
      </c>
      <c r="K46" s="7" t="s">
        <v>184</v>
      </c>
      <c r="L46" s="8"/>
      <c r="M46" s="8"/>
      <c r="N46" s="8"/>
      <c r="Q46" s="3">
        <v>46004</v>
      </c>
      <c r="R46" s="25" t="str">
        <f t="shared" si="3"/>
        <v>Saturday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30" customHeight="1" x14ac:dyDescent="0.35">
      <c r="A47" s="3">
        <v>46005</v>
      </c>
      <c r="B47" s="25" t="str">
        <f t="shared" si="2"/>
        <v>Sunday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Q47" s="3">
        <v>46005</v>
      </c>
      <c r="R47" s="25" t="str">
        <f t="shared" si="3"/>
        <v>Sunday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30" customHeight="1" x14ac:dyDescent="0.35">
      <c r="A48" s="3">
        <v>46006</v>
      </c>
      <c r="B48" s="25" t="str">
        <f t="shared" si="2"/>
        <v>Monday</v>
      </c>
      <c r="C48" s="7" t="s">
        <v>171</v>
      </c>
      <c r="D48" s="7" t="s">
        <v>174</v>
      </c>
      <c r="E48" s="7" t="s">
        <v>173</v>
      </c>
      <c r="F48" s="7" t="s">
        <v>172</v>
      </c>
      <c r="G48" s="7"/>
      <c r="H48" s="7" t="s">
        <v>176</v>
      </c>
      <c r="I48" s="41" t="s">
        <v>175</v>
      </c>
      <c r="J48" s="7" t="s">
        <v>177</v>
      </c>
      <c r="K48" s="7" t="s">
        <v>178</v>
      </c>
      <c r="L48" s="7" t="s">
        <v>38</v>
      </c>
      <c r="M48" s="7" t="s">
        <v>97</v>
      </c>
      <c r="N48" s="35"/>
      <c r="O48" s="1">
        <v>54</v>
      </c>
      <c r="Q48" s="3">
        <v>46006</v>
      </c>
      <c r="R48" s="25" t="str">
        <f t="shared" si="3"/>
        <v>Monday</v>
      </c>
      <c r="S48" s="7" t="s">
        <v>231</v>
      </c>
      <c r="T48" s="7" t="s">
        <v>234</v>
      </c>
      <c r="U48" s="7" t="s">
        <v>232</v>
      </c>
      <c r="V48" s="7" t="s">
        <v>233</v>
      </c>
      <c r="W48" s="7"/>
      <c r="X48" s="7" t="s">
        <v>183</v>
      </c>
      <c r="Y48" s="7" t="s">
        <v>183</v>
      </c>
      <c r="AB48" s="7"/>
      <c r="AC48" s="7"/>
      <c r="AD48" s="41"/>
      <c r="AE48" s="7"/>
    </row>
    <row r="49" spans="1:31" ht="30" customHeight="1" x14ac:dyDescent="0.35">
      <c r="A49" s="3">
        <v>46007</v>
      </c>
      <c r="B49" s="25" t="str">
        <f t="shared" si="2"/>
        <v>Tuesday</v>
      </c>
      <c r="C49" s="7" t="s">
        <v>197</v>
      </c>
      <c r="D49" s="7" t="s">
        <v>180</v>
      </c>
      <c r="E49" s="7" t="s">
        <v>179</v>
      </c>
      <c r="F49" s="7" t="s">
        <v>181</v>
      </c>
      <c r="G49" s="7" t="s">
        <v>156</v>
      </c>
      <c r="H49" s="7" t="s">
        <v>203</v>
      </c>
      <c r="I49" s="7" t="s">
        <v>182</v>
      </c>
      <c r="J49" s="7" t="s">
        <v>183</v>
      </c>
      <c r="K49" s="7" t="s">
        <v>183</v>
      </c>
      <c r="L49" s="7" t="s">
        <v>43</v>
      </c>
      <c r="M49" s="7" t="s">
        <v>43</v>
      </c>
      <c r="N49" s="35"/>
      <c r="O49" s="1">
        <v>55</v>
      </c>
      <c r="Q49" s="3">
        <v>46007</v>
      </c>
      <c r="R49" s="25" t="str">
        <f t="shared" si="3"/>
        <v>Tuesday</v>
      </c>
      <c r="S49" s="7"/>
      <c r="T49" s="7"/>
      <c r="U49" s="7" t="s">
        <v>230</v>
      </c>
      <c r="V49" s="41" t="s">
        <v>227</v>
      </c>
      <c r="W49" s="7"/>
      <c r="X49" s="7" t="s">
        <v>228</v>
      </c>
      <c r="Y49" s="7" t="s">
        <v>229</v>
      </c>
      <c r="Z49" s="7" t="s">
        <v>38</v>
      </c>
      <c r="AA49" s="7"/>
      <c r="AB49" s="7"/>
      <c r="AC49" s="7"/>
      <c r="AD49" s="41"/>
      <c r="AE49" s="7"/>
    </row>
    <row r="50" spans="1:31" ht="30" customHeight="1" x14ac:dyDescent="0.35">
      <c r="A50" s="3">
        <v>46008</v>
      </c>
      <c r="B50" s="25" t="str">
        <f t="shared" si="2"/>
        <v>Wednesday</v>
      </c>
      <c r="C50" s="7" t="s">
        <v>171</v>
      </c>
      <c r="D50" s="7" t="s">
        <v>174</v>
      </c>
      <c r="E50" s="7" t="s">
        <v>173</v>
      </c>
      <c r="F50" s="7" t="s">
        <v>172</v>
      </c>
      <c r="G50" s="7"/>
      <c r="H50" s="7" t="s">
        <v>203</v>
      </c>
      <c r="I50" s="7" t="s">
        <v>182</v>
      </c>
      <c r="J50" s="7" t="s">
        <v>183</v>
      </c>
      <c r="K50" s="7" t="s">
        <v>183</v>
      </c>
      <c r="L50" s="7" t="s">
        <v>184</v>
      </c>
      <c r="M50" s="7"/>
      <c r="N50" s="35"/>
      <c r="O50" s="1">
        <v>56</v>
      </c>
      <c r="Q50" s="3">
        <v>46008</v>
      </c>
      <c r="R50" s="25" t="str">
        <f t="shared" si="3"/>
        <v>Wednesday</v>
      </c>
      <c r="S50" s="7" t="s">
        <v>231</v>
      </c>
      <c r="T50" s="7" t="s">
        <v>234</v>
      </c>
      <c r="U50" s="7" t="s">
        <v>232</v>
      </c>
      <c r="V50" s="7" t="s">
        <v>233</v>
      </c>
      <c r="W50" s="7"/>
      <c r="X50" s="7" t="s">
        <v>183</v>
      </c>
      <c r="Y50" s="7" t="s">
        <v>183</v>
      </c>
      <c r="AB50" s="7"/>
      <c r="AC50" s="7"/>
      <c r="AD50" s="41"/>
      <c r="AE50" s="7"/>
    </row>
    <row r="51" spans="1:31" ht="30" customHeight="1" x14ac:dyDescent="0.35">
      <c r="A51" s="3">
        <v>46009</v>
      </c>
      <c r="B51" s="25" t="str">
        <f t="shared" si="2"/>
        <v>Thursday</v>
      </c>
      <c r="C51" s="7" t="s">
        <v>197</v>
      </c>
      <c r="D51" s="7" t="s">
        <v>180</v>
      </c>
      <c r="E51" s="7" t="s">
        <v>179</v>
      </c>
      <c r="F51" s="7" t="s">
        <v>181</v>
      </c>
      <c r="G51" s="7"/>
      <c r="H51" s="7" t="s">
        <v>176</v>
      </c>
      <c r="I51" s="41" t="s">
        <v>175</v>
      </c>
      <c r="J51" s="7" t="s">
        <v>177</v>
      </c>
      <c r="K51" s="7" t="s">
        <v>178</v>
      </c>
      <c r="L51" s="7" t="s">
        <v>38</v>
      </c>
      <c r="M51" s="7" t="s">
        <v>97</v>
      </c>
      <c r="N51" s="35" t="s">
        <v>97</v>
      </c>
      <c r="O51" s="1">
        <v>57</v>
      </c>
      <c r="Q51" s="3">
        <v>46009</v>
      </c>
      <c r="R51" s="25" t="str">
        <f t="shared" si="3"/>
        <v>Thursday</v>
      </c>
      <c r="S51" s="7"/>
      <c r="T51" s="7"/>
      <c r="U51" s="7" t="s">
        <v>230</v>
      </c>
      <c r="V51" s="41" t="s">
        <v>227</v>
      </c>
      <c r="W51" s="7"/>
      <c r="X51" s="7" t="s">
        <v>228</v>
      </c>
      <c r="Y51" s="7" t="s">
        <v>229</v>
      </c>
      <c r="Z51" s="7" t="s">
        <v>38</v>
      </c>
      <c r="AA51" s="7"/>
      <c r="AB51" s="7"/>
      <c r="AC51" s="7"/>
      <c r="AD51" s="41"/>
      <c r="AE51" s="7"/>
    </row>
    <row r="52" spans="1:31" ht="30" customHeight="1" x14ac:dyDescent="0.35">
      <c r="A52" s="3">
        <v>46010</v>
      </c>
      <c r="B52" s="25" t="str">
        <f t="shared" si="2"/>
        <v>Friday</v>
      </c>
      <c r="C52" s="7" t="s">
        <v>171</v>
      </c>
      <c r="D52" s="7" t="s">
        <v>174</v>
      </c>
      <c r="E52" s="7" t="s">
        <v>173</v>
      </c>
      <c r="F52" s="7" t="s">
        <v>172</v>
      </c>
      <c r="G52" s="7"/>
      <c r="H52" s="7" t="s">
        <v>176</v>
      </c>
      <c r="I52" s="41" t="s">
        <v>175</v>
      </c>
      <c r="J52" s="7" t="s">
        <v>198</v>
      </c>
      <c r="K52" s="7" t="s">
        <v>39</v>
      </c>
      <c r="L52" s="7" t="s">
        <v>38</v>
      </c>
      <c r="M52" s="45" t="s">
        <v>52</v>
      </c>
      <c r="N52" s="45" t="s">
        <v>53</v>
      </c>
      <c r="O52" s="1">
        <v>58</v>
      </c>
      <c r="Q52" s="3">
        <v>46010</v>
      </c>
      <c r="R52" s="25" t="str">
        <f t="shared" si="3"/>
        <v>Friday</v>
      </c>
      <c r="S52" s="7" t="s">
        <v>231</v>
      </c>
      <c r="T52" s="7" t="s">
        <v>234</v>
      </c>
      <c r="U52" s="7" t="s">
        <v>232</v>
      </c>
      <c r="V52" s="7" t="s">
        <v>233</v>
      </c>
      <c r="W52" s="7"/>
      <c r="X52" s="7" t="s">
        <v>183</v>
      </c>
      <c r="Y52" s="7" t="s">
        <v>183</v>
      </c>
      <c r="AB52" s="7"/>
      <c r="AC52" s="7"/>
      <c r="AD52" s="41"/>
      <c r="AE52" s="7"/>
    </row>
    <row r="53" spans="1:31" ht="30" customHeight="1" x14ac:dyDescent="0.35">
      <c r="A53" s="3">
        <v>46011</v>
      </c>
      <c r="B53" s="25" t="str">
        <f t="shared" si="2"/>
        <v>Saturday</v>
      </c>
      <c r="C53" s="7" t="s">
        <v>248</v>
      </c>
      <c r="D53" s="7" t="s">
        <v>180</v>
      </c>
      <c r="E53" s="7" t="s">
        <v>179</v>
      </c>
      <c r="F53" s="7" t="s">
        <v>181</v>
      </c>
      <c r="G53" s="7" t="s">
        <v>156</v>
      </c>
      <c r="H53" s="7" t="s">
        <v>203</v>
      </c>
      <c r="I53" s="7" t="s">
        <v>182</v>
      </c>
      <c r="J53" s="45" t="s">
        <v>247</v>
      </c>
      <c r="K53" s="45" t="s">
        <v>247</v>
      </c>
      <c r="L53" s="7"/>
      <c r="M53" s="7"/>
      <c r="N53" s="35"/>
      <c r="O53" s="1">
        <v>59</v>
      </c>
      <c r="Q53" s="3">
        <v>46011</v>
      </c>
      <c r="R53" s="25" t="str">
        <f t="shared" si="3"/>
        <v>Saturday</v>
      </c>
      <c r="S53" s="7"/>
      <c r="T53" s="7"/>
      <c r="U53" s="7"/>
      <c r="V53" s="7"/>
      <c r="W53" s="31"/>
      <c r="X53" s="7"/>
      <c r="Y53" s="7"/>
      <c r="Z53" s="7"/>
      <c r="AA53" s="7"/>
      <c r="AB53" s="7"/>
      <c r="AC53" s="7"/>
      <c r="AD53" s="41"/>
      <c r="AE53" s="35"/>
    </row>
    <row r="54" spans="1:31" ht="30" customHeight="1" x14ac:dyDescent="0.35">
      <c r="A54" s="3">
        <v>46012</v>
      </c>
      <c r="B54" s="25" t="str">
        <f t="shared" si="2"/>
        <v>Sunday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Q54" s="3">
        <v>46012</v>
      </c>
      <c r="R54" s="25" t="str">
        <f t="shared" si="3"/>
        <v>Sunday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30" customHeight="1" x14ac:dyDescent="0.35">
      <c r="A55" s="3">
        <v>46013</v>
      </c>
      <c r="B55" s="25" t="str">
        <f t="shared" si="2"/>
        <v>Monday</v>
      </c>
      <c r="C55" s="53" t="s">
        <v>12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  <c r="Q55" s="3">
        <v>46013</v>
      </c>
      <c r="R55" s="25" t="str">
        <f t="shared" si="3"/>
        <v>Monday</v>
      </c>
      <c r="S55" s="53" t="s">
        <v>12</v>
      </c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5"/>
    </row>
    <row r="56" spans="1:31" ht="30" customHeight="1" x14ac:dyDescent="0.35">
      <c r="A56" s="3">
        <v>46014</v>
      </c>
      <c r="B56" s="25" t="str">
        <f t="shared" si="2"/>
        <v>Tuesday</v>
      </c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8"/>
      <c r="Q56" s="3">
        <v>46014</v>
      </c>
      <c r="R56" s="25" t="str">
        <f t="shared" si="3"/>
        <v>Tuesday</v>
      </c>
      <c r="S56" s="56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8"/>
    </row>
    <row r="57" spans="1:31" ht="30" customHeight="1" x14ac:dyDescent="0.35">
      <c r="A57" s="3">
        <v>46015</v>
      </c>
      <c r="B57" s="25" t="str">
        <f t="shared" si="2"/>
        <v>Wednesday</v>
      </c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Q57" s="3">
        <v>46015</v>
      </c>
      <c r="R57" s="25" t="str">
        <f t="shared" si="3"/>
        <v>Wednesday</v>
      </c>
      <c r="S57" s="56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8"/>
    </row>
    <row r="58" spans="1:31" ht="30" customHeight="1" x14ac:dyDescent="0.35">
      <c r="A58" s="3">
        <v>46016</v>
      </c>
      <c r="B58" s="25" t="str">
        <f t="shared" si="2"/>
        <v>Thursday</v>
      </c>
      <c r="C58" s="46" t="s">
        <v>41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8"/>
      <c r="Q58" s="3">
        <v>46016</v>
      </c>
      <c r="R58" s="25" t="str">
        <f t="shared" si="3"/>
        <v>Thursday</v>
      </c>
      <c r="S58" s="46" t="s">
        <v>41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8"/>
    </row>
    <row r="59" spans="1:31" ht="18.75" customHeight="1" x14ac:dyDescent="0.35">
      <c r="A59" s="3">
        <v>46017</v>
      </c>
      <c r="B59" s="25" t="str">
        <f t="shared" si="2"/>
        <v>Friday</v>
      </c>
      <c r="C59" s="46" t="s">
        <v>12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8"/>
      <c r="Q59" s="3">
        <v>46017</v>
      </c>
      <c r="R59" s="25" t="str">
        <f t="shared" si="3"/>
        <v>Friday</v>
      </c>
      <c r="S59" s="46" t="s">
        <v>12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8"/>
    </row>
    <row r="60" spans="1:31" ht="18.75" customHeight="1" x14ac:dyDescent="0.35">
      <c r="A60" s="3">
        <v>46018</v>
      </c>
      <c r="B60" s="25" t="str">
        <f t="shared" si="2"/>
        <v>Saturday</v>
      </c>
      <c r="C60" s="53" t="s">
        <v>200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5"/>
      <c r="Q60" s="3">
        <v>46018</v>
      </c>
      <c r="R60" s="25" t="str">
        <f t="shared" si="3"/>
        <v>Saturday</v>
      </c>
      <c r="S60" s="53" t="s">
        <v>200</v>
      </c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5"/>
    </row>
    <row r="61" spans="1:31" ht="15" customHeight="1" x14ac:dyDescent="0.35">
      <c r="A61" s="3">
        <v>46019</v>
      </c>
      <c r="B61" s="25" t="str">
        <f t="shared" si="2"/>
        <v>Sunday</v>
      </c>
      <c r="C61" s="59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Q61" s="3">
        <v>46019</v>
      </c>
      <c r="R61" s="25" t="str">
        <f t="shared" si="3"/>
        <v>Sunday</v>
      </c>
      <c r="S61" s="59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1"/>
    </row>
    <row r="62" spans="1:31" ht="14.25" x14ac:dyDescent="0.35">
      <c r="A62" s="3">
        <v>46020</v>
      </c>
      <c r="B62" s="25" t="str">
        <f t="shared" si="2"/>
        <v>Monday</v>
      </c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  <c r="Q62" s="3">
        <v>46020</v>
      </c>
      <c r="R62" s="25" t="str">
        <f t="shared" si="3"/>
        <v>Monday</v>
      </c>
      <c r="S62" s="38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40"/>
    </row>
    <row r="63" spans="1:31" ht="14.25" x14ac:dyDescent="0.35">
      <c r="A63" s="3">
        <v>46021</v>
      </c>
      <c r="B63" s="25" t="str">
        <f t="shared" si="2"/>
        <v>Tuesday</v>
      </c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  <c r="Q63" s="3">
        <v>46021</v>
      </c>
      <c r="R63" s="25" t="str">
        <f t="shared" si="3"/>
        <v>Tuesday</v>
      </c>
      <c r="S63" s="38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40"/>
    </row>
    <row r="64" spans="1:31" ht="14.25" x14ac:dyDescent="0.35">
      <c r="A64" s="3">
        <v>46022</v>
      </c>
      <c r="B64" s="25" t="str">
        <f t="shared" si="2"/>
        <v>Wednesday</v>
      </c>
      <c r="C64" s="38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0"/>
      <c r="Q64" s="3">
        <v>46022</v>
      </c>
      <c r="R64" s="25" t="str">
        <f t="shared" si="3"/>
        <v>Wednesday</v>
      </c>
      <c r="S64" s="38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40"/>
    </row>
    <row r="65" spans="1:31" ht="14.25" x14ac:dyDescent="0.35">
      <c r="A65" s="3">
        <v>46023</v>
      </c>
      <c r="B65" s="25" t="str">
        <f t="shared" si="2"/>
        <v>Thursday</v>
      </c>
      <c r="C65" s="38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0"/>
      <c r="Q65" s="3">
        <v>46023</v>
      </c>
      <c r="R65" s="25" t="str">
        <f t="shared" si="3"/>
        <v>Thursday</v>
      </c>
      <c r="S65" s="38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40"/>
    </row>
    <row r="66" spans="1:31" ht="27.75" customHeight="1" x14ac:dyDescent="0.35">
      <c r="A66" s="3">
        <v>46024</v>
      </c>
      <c r="B66" s="25" t="str">
        <f t="shared" si="2"/>
        <v>Friday</v>
      </c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36"/>
      <c r="O66" s="1">
        <v>48</v>
      </c>
      <c r="Q66" s="3">
        <v>46024</v>
      </c>
      <c r="R66" s="25" t="str">
        <f t="shared" si="3"/>
        <v>Friday</v>
      </c>
      <c r="S66" s="43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36"/>
    </row>
    <row r="67" spans="1:31" ht="27.75" customHeight="1" x14ac:dyDescent="0.35">
      <c r="A67" s="3">
        <v>46025</v>
      </c>
      <c r="B67" s="25" t="str">
        <f t="shared" si="2"/>
        <v>Saturday</v>
      </c>
      <c r="C67" s="43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36"/>
      <c r="Q67" s="3">
        <v>46025</v>
      </c>
      <c r="R67" s="25" t="str">
        <f t="shared" si="3"/>
        <v>Saturday</v>
      </c>
      <c r="S67" s="43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36"/>
    </row>
    <row r="68" spans="1:31" ht="27.75" customHeight="1" x14ac:dyDescent="0.35">
      <c r="A68" s="3">
        <v>46026</v>
      </c>
      <c r="B68" s="25" t="str">
        <f t="shared" si="2"/>
        <v>Sunday</v>
      </c>
      <c r="C68" s="4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36"/>
      <c r="Q68" s="3">
        <v>46026</v>
      </c>
      <c r="R68" s="25" t="str">
        <f t="shared" si="3"/>
        <v>Sunday</v>
      </c>
      <c r="S68" s="43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36"/>
    </row>
    <row r="69" spans="1:31" ht="27.75" customHeight="1" x14ac:dyDescent="0.35">
      <c r="A69" s="3">
        <v>46027</v>
      </c>
      <c r="B69" s="25" t="str">
        <f t="shared" si="2"/>
        <v>Monday</v>
      </c>
      <c r="C69" s="46" t="s">
        <v>201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8"/>
      <c r="O69" s="1">
        <v>49</v>
      </c>
      <c r="Q69" s="3">
        <v>46027</v>
      </c>
      <c r="R69" s="25" t="str">
        <f t="shared" si="3"/>
        <v>Monday</v>
      </c>
      <c r="S69" s="46" t="s">
        <v>201</v>
      </c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8"/>
    </row>
    <row r="70" spans="1:31" ht="18" customHeight="1" x14ac:dyDescent="0.3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31" ht="18" customHeight="1" x14ac:dyDescent="0.3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31" ht="18" customHeight="1" x14ac:dyDescent="0.3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31" ht="18" customHeight="1" x14ac:dyDescent="0.35">
      <c r="C73" s="27" t="s">
        <v>52</v>
      </c>
      <c r="D73" s="28">
        <f>COUNTIF($C$4:$N$69, "VALU(A)/VALU('C)")</f>
        <v>15</v>
      </c>
      <c r="E73" s="28">
        <f>COUNTIF($C$4:$N$69, "VALU(A)/BS")</f>
        <v>0</v>
      </c>
      <c r="F73" s="28">
        <f>COUNTIF($C$4:$N$69, "VALU(A)")</f>
        <v>5</v>
      </c>
      <c r="G73" s="28">
        <f>COUNTIF($C$4:$N$69, "VALU(A)/VALU('C)/BS")</f>
        <v>2</v>
      </c>
      <c r="H73" s="28">
        <f>COUNTIF($C$4:$N$69, "VALU(A)/VALU(B)/VALU('C)/VALU(D)")</f>
        <v>1</v>
      </c>
      <c r="I73" s="28"/>
      <c r="J73" s="28"/>
      <c r="K73" s="28"/>
      <c r="L73" s="28"/>
      <c r="M73" s="28"/>
      <c r="N73" s="28">
        <f>SUM(D73:M73)</f>
        <v>23</v>
      </c>
    </row>
    <row r="74" spans="1:31" ht="18" customHeight="1" x14ac:dyDescent="0.35">
      <c r="C74" s="27" t="s">
        <v>53</v>
      </c>
      <c r="D74" s="28">
        <f>COUNTIF($C$4:$N$69, "VALU(B)/VALU(D)")</f>
        <v>18</v>
      </c>
      <c r="E74" s="28">
        <f>COUNTIF($C$4:$N$69, "VALU(B)")</f>
        <v>4</v>
      </c>
      <c r="F74" s="28"/>
      <c r="G74" s="28">
        <f>COUNTIF($C$4:$N$69, "DC(A)/DRM(B)")</f>
        <v>0</v>
      </c>
      <c r="H74" s="28">
        <f>COUNTIF($C$4:$N$69, "VALU(A)/VALU(B)/VALU('C)/VALU(D)")</f>
        <v>1</v>
      </c>
      <c r="I74" s="28"/>
      <c r="J74" s="28"/>
      <c r="K74" s="28"/>
      <c r="L74" s="28"/>
      <c r="M74" s="28"/>
      <c r="N74" s="28">
        <f t="shared" ref="N74:N114" si="4">SUM(D74:M74)</f>
        <v>23</v>
      </c>
    </row>
    <row r="75" spans="1:31" ht="18" customHeight="1" x14ac:dyDescent="0.35">
      <c r="C75" s="27" t="s">
        <v>107</v>
      </c>
      <c r="D75" s="28">
        <f>COUNTIF($C$4:$N$69, "VALU(A)/VALU('C)")</f>
        <v>15</v>
      </c>
      <c r="E75" s="28">
        <f>COUNTIF($C$4:$N$69, "VALU('C)")</f>
        <v>3</v>
      </c>
      <c r="F75" s="28">
        <f>COUNTIF($C$4:$N$69, "DRM(A)/DRM('C)/ML&amp;AI('C)")</f>
        <v>0</v>
      </c>
      <c r="G75" s="28">
        <f>COUNTIF($C$4:$N$69, "VALU(A)/VALU('C)/BS")</f>
        <v>2</v>
      </c>
      <c r="H75" s="28">
        <f>COUNTIF($C$4:$N$69, "VALU(A)/VALU(B)/VALU('C)/VALU(D)")</f>
        <v>1</v>
      </c>
      <c r="I75" s="28"/>
      <c r="J75" s="28"/>
      <c r="K75" s="28"/>
      <c r="L75" s="28"/>
      <c r="M75" s="28"/>
      <c r="N75" s="28">
        <f t="shared" si="4"/>
        <v>21</v>
      </c>
    </row>
    <row r="76" spans="1:31" ht="18" customHeight="1" x14ac:dyDescent="0.35">
      <c r="C76" s="27" t="s">
        <v>110</v>
      </c>
      <c r="D76" s="28">
        <f>COUNTIF($C$4:$N$69, "VALU(B)/VALU(D)")</f>
        <v>18</v>
      </c>
      <c r="E76" s="28">
        <f>COUNTIF($C$4:$N$69, "VALU(D)")</f>
        <v>3</v>
      </c>
      <c r="F76" s="28">
        <f>COUNTIF($C$4:$N$69, "DRM(D)/LSS(A)")</f>
        <v>0</v>
      </c>
      <c r="G76" s="28"/>
      <c r="H76" s="28">
        <f>COUNTIF($C$4:$N$69, "VALU(A)/VALU(B)/VALU('C)/VALU(D)")</f>
        <v>1</v>
      </c>
      <c r="I76" s="28"/>
      <c r="J76" s="28"/>
      <c r="K76" s="28"/>
      <c r="L76" s="28"/>
      <c r="M76" s="28"/>
      <c r="N76" s="28">
        <f t="shared" si="4"/>
        <v>22</v>
      </c>
    </row>
    <row r="77" spans="1:31" ht="18" customHeight="1" x14ac:dyDescent="0.35">
      <c r="C77" s="27" t="s">
        <v>63</v>
      </c>
      <c r="D77" s="28">
        <f>COUNTIF($C$4:$N$69, "DRM(A)/DRM('C)")</f>
        <v>20</v>
      </c>
      <c r="E77" s="28">
        <f>COUNTIF($C$4:$N$69, "DRM(A)")</f>
        <v>0</v>
      </c>
      <c r="F77" s="28">
        <f>COUNTIF($C$4:$N$69, "INB(A)/DADM")</f>
        <v>0</v>
      </c>
      <c r="G77" s="28">
        <f>COUNTIF($C$4:$N$69, "INB(A)/SCM(B)")</f>
        <v>0</v>
      </c>
      <c r="H77" s="28"/>
      <c r="I77" s="28"/>
      <c r="J77" s="28"/>
      <c r="K77" s="28"/>
      <c r="L77" s="28"/>
      <c r="M77" s="28"/>
      <c r="N77" s="28">
        <f t="shared" si="4"/>
        <v>20</v>
      </c>
    </row>
    <row r="78" spans="1:31" ht="18" customHeight="1" x14ac:dyDescent="0.35">
      <c r="C78" s="27" t="s">
        <v>64</v>
      </c>
      <c r="D78" s="28">
        <f>COUNTIF($C$4:$N$69, "INB('C)/SCM(A)/DRM(B)")</f>
        <v>20</v>
      </c>
      <c r="E78" s="28">
        <f>COUNTIF($C$4:$N$69, "INB('C)/DRM(B)")</f>
        <v>0</v>
      </c>
      <c r="F78" s="28">
        <f>COUNTIF($C$4:$N$69, "SCM(A)/DRM(B)")</f>
        <v>0</v>
      </c>
      <c r="G78" s="28"/>
      <c r="H78" s="28"/>
      <c r="I78" s="28"/>
      <c r="J78" s="28"/>
      <c r="K78" s="28"/>
      <c r="L78" s="28"/>
      <c r="M78" s="28"/>
      <c r="N78" s="28">
        <f t="shared" si="4"/>
        <v>20</v>
      </c>
    </row>
    <row r="79" spans="1:31" ht="18" customHeight="1" x14ac:dyDescent="0.35">
      <c r="C79" s="27" t="s">
        <v>235</v>
      </c>
      <c r="D79" s="28">
        <f>COUNTIF($C$4:$N$69, "DRM(A)/DRM('C)")</f>
        <v>20</v>
      </c>
      <c r="E79" s="28">
        <f>COUNTIF($C$4:$N$69, "INB('C)")</f>
        <v>0</v>
      </c>
      <c r="F79" s="28"/>
      <c r="G79" s="28"/>
      <c r="H79" s="28"/>
      <c r="I79" s="28"/>
      <c r="J79" s="28"/>
      <c r="K79" s="28"/>
      <c r="L79" s="28"/>
      <c r="M79" s="28"/>
      <c r="N79" s="28">
        <f t="shared" si="4"/>
        <v>20</v>
      </c>
    </row>
    <row r="80" spans="1:31" ht="18" customHeight="1" x14ac:dyDescent="0.35">
      <c r="C80" s="27" t="s">
        <v>65</v>
      </c>
      <c r="D80" s="28">
        <f>COUNTIF($C$4:$N$69, "INB(A)/SCM(B)/PDBE(B)")</f>
        <v>20</v>
      </c>
      <c r="E80" s="28">
        <f>COUNTIF($C$4:$N$69, "INB(A)/SCM(B)")</f>
        <v>0</v>
      </c>
      <c r="F80" s="28">
        <f>COUNTIF($C$4:$N$69, "INB(A)/PDBE(B)")</f>
        <v>0</v>
      </c>
      <c r="G80" s="28"/>
      <c r="H80" s="28"/>
      <c r="I80" s="28"/>
      <c r="J80" s="28"/>
      <c r="K80" s="28"/>
      <c r="L80" s="28"/>
      <c r="M80" s="28"/>
      <c r="N80" s="28">
        <f t="shared" si="4"/>
        <v>20</v>
      </c>
    </row>
    <row r="81" spans="3:14" ht="18" customHeight="1" x14ac:dyDescent="0.35">
      <c r="C81" s="27" t="s">
        <v>66</v>
      </c>
      <c r="D81" s="28">
        <f>COUNTIF($C$4:$N$69, "INB(B)/SCM('C)/PDBE(A)")</f>
        <v>20</v>
      </c>
      <c r="E81" s="28">
        <f>COUNTIF($C$4:$N$69, "INB(B)/SCM('C)")</f>
        <v>0</v>
      </c>
      <c r="F81" s="28">
        <f>COUNTIF($C$4:$N$69, "INB(B)/PDBE(A)")</f>
        <v>0</v>
      </c>
      <c r="G81" s="28">
        <f>COUNTIF($C$4:$N$69, "INB(B)")</f>
        <v>0</v>
      </c>
      <c r="H81" s="28"/>
      <c r="I81" s="28"/>
      <c r="J81" s="28"/>
      <c r="K81" s="28"/>
      <c r="L81" s="28"/>
      <c r="M81" s="28"/>
      <c r="N81" s="28">
        <f t="shared" si="4"/>
        <v>20</v>
      </c>
    </row>
    <row r="82" spans="3:14" ht="18" customHeight="1" x14ac:dyDescent="0.35">
      <c r="C82" s="27" t="s">
        <v>236</v>
      </c>
      <c r="D82" s="28">
        <f>COUNTIF($C$4:$N$69, "INB('C)/SCM(A)/DRM(B)")</f>
        <v>20</v>
      </c>
      <c r="E82" s="28">
        <f>COUNTIF($C$4:$N$69, "INB('C)/DRM(B)")</f>
        <v>0</v>
      </c>
      <c r="F82" s="28"/>
      <c r="G82" s="28"/>
      <c r="H82" s="28"/>
      <c r="I82" s="28"/>
      <c r="J82" s="28"/>
      <c r="K82" s="28"/>
      <c r="L82" s="28"/>
      <c r="M82" s="28"/>
      <c r="N82" s="28">
        <f t="shared" si="4"/>
        <v>20</v>
      </c>
    </row>
    <row r="83" spans="3:14" ht="18" customHeight="1" x14ac:dyDescent="0.35">
      <c r="C83" s="27" t="s">
        <v>237</v>
      </c>
      <c r="D83" s="28">
        <f>COUNTIF($C$4:$N$69, "CC&amp;AU(A)/ML&amp;AI(B)/IMC(A)")</f>
        <v>16</v>
      </c>
      <c r="E83" s="28">
        <f>COUNTIF($C$4:$N$69, "CC&amp;AU(A)/CC&amp;AU(B)")</f>
        <v>0</v>
      </c>
      <c r="F83" s="28">
        <f>COUNTIF($C$4:$N$69, "CC&amp;AU(A)/ML&amp;AI(B)")</f>
        <v>3</v>
      </c>
      <c r="G83" s="28"/>
      <c r="H83" s="28"/>
      <c r="I83" s="28"/>
      <c r="J83" s="28"/>
      <c r="K83" s="28"/>
      <c r="L83" s="28"/>
      <c r="M83" s="28"/>
      <c r="N83" s="28">
        <f t="shared" si="4"/>
        <v>19</v>
      </c>
    </row>
    <row r="84" spans="3:14" ht="18" customHeight="1" x14ac:dyDescent="0.35">
      <c r="C84" s="27" t="s">
        <v>238</v>
      </c>
      <c r="D84" s="28">
        <f>COUNTIF($C$4:$N$69, "CC&amp;AU(B)/ML&amp;AI(A)/LSS(B)")</f>
        <v>19</v>
      </c>
      <c r="E84" s="28">
        <f>COUNTIF($C$4:$N$69, "CC&amp;AU(A)/CC&amp;AU(B)")</f>
        <v>0</v>
      </c>
      <c r="F84" s="28">
        <f>COUNTIF($C$4:$N$69, "ML&amp;AI('C)/D&amp;IT")</f>
        <v>0</v>
      </c>
      <c r="G84" s="28"/>
      <c r="H84" s="28"/>
      <c r="I84" s="28"/>
      <c r="J84" s="28"/>
      <c r="K84" s="28"/>
      <c r="L84" s="28"/>
      <c r="M84" s="28"/>
      <c r="N84" s="28">
        <f t="shared" si="4"/>
        <v>19</v>
      </c>
    </row>
    <row r="85" spans="3:14" ht="18" customHeight="1" x14ac:dyDescent="0.35">
      <c r="C85" s="9" t="s">
        <v>239</v>
      </c>
      <c r="D85" s="28">
        <f>COUNTIF($C$4:$N$69, "CC&amp;AU(A)/ML&amp;AI(B)/IMC(A)")</f>
        <v>16</v>
      </c>
      <c r="E85" s="28">
        <f>COUNTIF($C$4:$N$69, "ML&amp;AI(B)/IMC(A)")</f>
        <v>0</v>
      </c>
      <c r="F85" s="28">
        <f>COUNTIF($C$4:$N$69, "IMC(A)/IMC(B)")</f>
        <v>8</v>
      </c>
      <c r="G85" s="2"/>
      <c r="H85" s="2"/>
      <c r="I85" s="2"/>
      <c r="J85" s="2"/>
      <c r="K85" s="2"/>
      <c r="L85" s="2"/>
      <c r="M85" s="2"/>
      <c r="N85" s="28">
        <f t="shared" si="4"/>
        <v>24</v>
      </c>
    </row>
    <row r="86" spans="3:14" ht="18" customHeight="1" x14ac:dyDescent="0.35">
      <c r="C86" s="9" t="s">
        <v>184</v>
      </c>
      <c r="D86" s="28">
        <f>COUNTIF($C$4:$N$69, "IMC(B)")</f>
        <v>15</v>
      </c>
      <c r="E86" s="28">
        <f>COUNTIF($C$4:$N$69, "IMC(A)/IMC(B)")</f>
        <v>8</v>
      </c>
      <c r="F86" s="28"/>
      <c r="G86" s="2"/>
      <c r="H86" s="2"/>
      <c r="I86" s="2"/>
      <c r="J86" s="2"/>
      <c r="K86" s="2"/>
      <c r="L86" s="2"/>
      <c r="M86" s="2"/>
      <c r="N86" s="28">
        <f t="shared" si="4"/>
        <v>23</v>
      </c>
    </row>
    <row r="87" spans="3:14" ht="18" customHeight="1" x14ac:dyDescent="0.35">
      <c r="C87" s="9" t="s">
        <v>16</v>
      </c>
      <c r="D87" s="28">
        <f>COUNTIF($C$4:$N$69, "B2B(A)/B2B('C)/AN(A)/TEOM(B)")</f>
        <v>21</v>
      </c>
      <c r="E87" s="28">
        <f>COUNTIF($C$4:$N$69, "B2B(A)/B2B('C)/TEOM(B)")</f>
        <v>0</v>
      </c>
      <c r="F87" s="28">
        <f>COUNTIF($C$4:$N$69, "B2B(A)/B2B('C)/AN(A)")</f>
        <v>0</v>
      </c>
      <c r="G87" s="2">
        <f>COUNTIF($C$4:$N$58, "B2B(B)/T&amp;D")</f>
        <v>0</v>
      </c>
      <c r="H87" s="2">
        <f>COUNTIF($C$4:$N$58, "B2B(B)/T&amp;D")</f>
        <v>0</v>
      </c>
      <c r="I87" s="2"/>
      <c r="J87" s="2"/>
      <c r="K87" s="2"/>
      <c r="L87" s="2"/>
      <c r="M87" s="2"/>
      <c r="N87" s="28">
        <f t="shared" si="4"/>
        <v>21</v>
      </c>
    </row>
    <row r="88" spans="3:14" ht="18" customHeight="1" x14ac:dyDescent="0.35">
      <c r="C88" s="9" t="s">
        <v>17</v>
      </c>
      <c r="D88" s="28">
        <f>COUNTIF($C$4:$N$69, "B2B(B)/AN(B)")</f>
        <v>21</v>
      </c>
      <c r="E88" s="28">
        <f>COUNTIF($C$4:$N$69, "B2B(B)")</f>
        <v>0</v>
      </c>
      <c r="F88" s="2"/>
      <c r="G88" s="2"/>
      <c r="H88" s="2"/>
      <c r="I88" s="2"/>
      <c r="J88" s="2"/>
      <c r="K88" s="2"/>
      <c r="L88" s="2"/>
      <c r="M88" s="2"/>
      <c r="N88" s="28">
        <f t="shared" si="4"/>
        <v>21</v>
      </c>
    </row>
    <row r="89" spans="3:14" ht="18" customHeight="1" x14ac:dyDescent="0.35">
      <c r="C89" s="9" t="s">
        <v>240</v>
      </c>
      <c r="D89" s="28">
        <f>COUNTIF($C$4:$N$69, "B2B(A)/B2B('C)/AN(A)/TEOM(B)")</f>
        <v>21</v>
      </c>
      <c r="E89" s="28">
        <f>COUNTIF($C$4:$N$69, "B2B(A)/B2B('C)/TEOM(B)")</f>
        <v>0</v>
      </c>
      <c r="F89" s="28">
        <f>COUNTIF($C$4:$N$69, "B2B(A)/B2B('C)/AN(A)")</f>
        <v>0</v>
      </c>
      <c r="G89" s="2"/>
      <c r="H89" s="2"/>
      <c r="I89" s="2"/>
      <c r="J89" s="2"/>
      <c r="K89" s="2"/>
      <c r="L89" s="2"/>
      <c r="M89" s="2"/>
      <c r="N89" s="28">
        <f t="shared" si="4"/>
        <v>21</v>
      </c>
    </row>
    <row r="90" spans="3:14" ht="18" customHeight="1" x14ac:dyDescent="0.35">
      <c r="C90" s="9" t="s">
        <v>108</v>
      </c>
      <c r="D90" s="28">
        <f>COUNTIF($C$4:$N$69, "DADM/SMKT(B)/SMKT(A)")</f>
        <v>16</v>
      </c>
      <c r="E90" s="28">
        <f>COUNTIF($C$4:$N$69, "SMKT(A)")</f>
        <v>1</v>
      </c>
      <c r="F90" s="28">
        <f>COUNTIF($C$4:$N$69, "DADM/SMKT(A)")</f>
        <v>3</v>
      </c>
      <c r="G90" s="28">
        <f>COUNTIF($C$4:$N$69, "SMKT(A)/SMKT(B)")</f>
        <v>3</v>
      </c>
      <c r="H90" s="2">
        <f>COUNTIF($C$4:$N$58, "B2B(B)/T&amp;D")</f>
        <v>0</v>
      </c>
      <c r="I90" s="2"/>
      <c r="J90" s="2"/>
      <c r="K90" s="2"/>
      <c r="L90" s="2"/>
      <c r="M90" s="2"/>
      <c r="N90" s="28">
        <f t="shared" si="4"/>
        <v>23</v>
      </c>
    </row>
    <row r="91" spans="3:14" ht="18" customHeight="1" x14ac:dyDescent="0.35">
      <c r="C91" s="9" t="s">
        <v>109</v>
      </c>
      <c r="D91" s="28">
        <f>COUNTIF($C$4:$N$69, "DADM/SMKT(B)/SMKT(A)")</f>
        <v>16</v>
      </c>
      <c r="E91" s="28">
        <f>COUNTIF($C$4:$N$69, "SMKT(B)")</f>
        <v>2</v>
      </c>
      <c r="F91" s="28">
        <f>COUNTIF($C$4:$N$69, "SMKT(A)/SMKT(B)")</f>
        <v>3</v>
      </c>
      <c r="G91" s="28">
        <f>COUNTIF($C$4:$N$69, "SMKT")</f>
        <v>0</v>
      </c>
      <c r="H91" s="28"/>
      <c r="I91" s="2"/>
      <c r="J91" s="2"/>
      <c r="K91" s="2"/>
      <c r="L91" s="2"/>
      <c r="M91" s="2"/>
      <c r="N91" s="28">
        <f t="shared" si="4"/>
        <v>21</v>
      </c>
    </row>
    <row r="92" spans="3:14" ht="18" customHeight="1" x14ac:dyDescent="0.35">
      <c r="C92" s="9" t="s">
        <v>39</v>
      </c>
      <c r="D92" s="28">
        <f>COUNTIF($C$4:$N$69, "DV&amp;VS(B)/DV&amp;VS('C)/DM(B)")</f>
        <v>13</v>
      </c>
      <c r="E92" s="28">
        <f>COUNTIF($C$4:$N$69, "DV&amp;VS(B)/DM(B)")</f>
        <v>0</v>
      </c>
      <c r="F92" s="28">
        <f>COUNTIF($C$4:$N$69, "DM(B)")</f>
        <v>5</v>
      </c>
      <c r="G92" s="28">
        <f>COUNTIF($C$4:$N$69, "DV&amp;VS('C)/DM(B)")</f>
        <v>1</v>
      </c>
      <c r="H92" s="2"/>
      <c r="I92" s="2"/>
      <c r="J92" s="2"/>
      <c r="K92" s="2"/>
      <c r="L92" s="2"/>
      <c r="M92" s="2"/>
      <c r="N92" s="28">
        <f t="shared" si="4"/>
        <v>19</v>
      </c>
    </row>
    <row r="93" spans="3:14" ht="18" customHeight="1" x14ac:dyDescent="0.35">
      <c r="C93" s="9" t="s">
        <v>38</v>
      </c>
      <c r="D93" s="28">
        <f>COUNTIF($C$4:$N$69, "DM(A)")</f>
        <v>19</v>
      </c>
      <c r="E93" s="28">
        <f>COUNTIF($C$4:$N$69, "DM(A)/DC(B)")</f>
        <v>0</v>
      </c>
      <c r="F93" s="28">
        <f>COUNTIF($C$4:$N$69, "DM(A)/DM(B)")</f>
        <v>0</v>
      </c>
      <c r="G93" s="2"/>
      <c r="H93" s="2"/>
      <c r="I93" s="2"/>
      <c r="J93" s="2"/>
      <c r="K93" s="2"/>
      <c r="L93" s="2"/>
      <c r="M93" s="2"/>
      <c r="N93" s="28">
        <f t="shared" si="4"/>
        <v>19</v>
      </c>
    </row>
    <row r="94" spans="3:14" ht="18" customHeight="1" x14ac:dyDescent="0.35">
      <c r="C94" s="9" t="s">
        <v>55</v>
      </c>
      <c r="D94" s="28">
        <f>COUNTIF($C$4:$N$69, "INB(B)/SCM('C)/PDBE(A)")</f>
        <v>20</v>
      </c>
      <c r="E94" s="28">
        <f>COUNTIF($C$4:$N$69, "INB(B)/PDBE(A)")</f>
        <v>0</v>
      </c>
      <c r="F94" s="28">
        <f>COUNTIF($C$4:$N$69, "SCM('C)/PDBE(A)")</f>
        <v>0</v>
      </c>
      <c r="G94" s="2"/>
      <c r="H94" s="2"/>
      <c r="I94" s="2"/>
      <c r="J94" s="2"/>
      <c r="K94" s="2"/>
      <c r="L94" s="2"/>
      <c r="M94" s="2"/>
      <c r="N94" s="28">
        <f t="shared" si="4"/>
        <v>20</v>
      </c>
    </row>
    <row r="95" spans="3:14" ht="18" customHeight="1" x14ac:dyDescent="0.35">
      <c r="C95" s="9" t="s">
        <v>54</v>
      </c>
      <c r="D95" s="28">
        <f>COUNTIF($C$4:$N$69, "INB(A)/SCM(B)/PDBE(B)")</f>
        <v>20</v>
      </c>
      <c r="E95" s="28">
        <f>COUNTIF($C$4:$N$69, "INB(A)/PDBE(B)")</f>
        <v>0</v>
      </c>
      <c r="F95" s="28">
        <f>COUNTIF($C$4:$N$69, "SCM(B)/PDBE(B)")</f>
        <v>0</v>
      </c>
      <c r="G95" s="2"/>
      <c r="H95" s="2"/>
      <c r="I95" s="2"/>
      <c r="J95" s="2"/>
      <c r="K95" s="2"/>
      <c r="L95" s="2"/>
      <c r="M95" s="2"/>
      <c r="N95" s="28">
        <f t="shared" si="4"/>
        <v>20</v>
      </c>
    </row>
    <row r="96" spans="3:14" ht="18" customHeight="1" x14ac:dyDescent="0.35">
      <c r="C96" s="9" t="s">
        <v>241</v>
      </c>
      <c r="D96" s="28">
        <f>COUNTIF($C$4:$N$69, "B2B(A)/B2B('C)/AN(A)/TEOM(B)")</f>
        <v>21</v>
      </c>
      <c r="E96" s="28">
        <f>COUNTIF($C$4:$N$69, "B2B(A)/B2B('C)/AN(A)")</f>
        <v>0</v>
      </c>
      <c r="F96" s="2"/>
      <c r="G96" s="2"/>
      <c r="H96" s="2"/>
      <c r="I96" s="2"/>
      <c r="J96" s="2"/>
      <c r="K96" s="2"/>
      <c r="L96" s="2"/>
      <c r="M96" s="2"/>
      <c r="N96" s="28">
        <f t="shared" si="4"/>
        <v>21</v>
      </c>
    </row>
    <row r="97" spans="3:14" ht="18" customHeight="1" x14ac:dyDescent="0.35">
      <c r="C97" s="27" t="s">
        <v>242</v>
      </c>
      <c r="D97" s="28">
        <f>COUNTIF($C$4:$N$69, "B2B(B)/AN(B)")</f>
        <v>21</v>
      </c>
      <c r="E97" s="28">
        <f>COUNTIF($C$4:$N$69, "AN(B)")</f>
        <v>0</v>
      </c>
      <c r="F97" s="28"/>
      <c r="G97" s="28"/>
      <c r="H97" s="28"/>
      <c r="I97" s="28"/>
      <c r="J97" s="28"/>
      <c r="K97" s="28"/>
      <c r="L97" s="28"/>
      <c r="M97" s="28"/>
      <c r="N97" s="28">
        <f t="shared" si="4"/>
        <v>21</v>
      </c>
    </row>
    <row r="98" spans="3:14" ht="18" customHeight="1" x14ac:dyDescent="0.35">
      <c r="C98" s="27" t="s">
        <v>111</v>
      </c>
      <c r="D98" s="28">
        <f>COUNTIF($C$4:$N$69, "TEOM(A)/CSE/DV&amp;VS(B)/DV&amp;VS('C)")</f>
        <v>13</v>
      </c>
      <c r="E98" s="28">
        <f>COUNTIF($C$4:$N$69, "TEOM(A)/DV&amp;VS(B)/DV&amp;VS('C)")</f>
        <v>2</v>
      </c>
      <c r="F98" s="28">
        <f>COUNTIF($C$4:$N$69, "TEOM(A)/CSE")</f>
        <v>5</v>
      </c>
      <c r="G98" s="28">
        <f>COUNTIF($C$4:$N$69, "TEOM(A)/CSE/DV&amp;VS(B)")</f>
        <v>0</v>
      </c>
      <c r="H98" s="28"/>
      <c r="I98" s="28"/>
      <c r="J98" s="28"/>
      <c r="K98" s="28"/>
      <c r="L98" s="28"/>
      <c r="M98" s="28"/>
      <c r="N98" s="28">
        <f t="shared" si="4"/>
        <v>20</v>
      </c>
    </row>
    <row r="99" spans="3:14" ht="18" customHeight="1" x14ac:dyDescent="0.35">
      <c r="C99" s="27" t="s">
        <v>112</v>
      </c>
      <c r="D99" s="28">
        <f>COUNTIF($C$4:$N$69, "B2B(A)/B2B('C)/AN(A)/TEOM(B)")</f>
        <v>21</v>
      </c>
      <c r="E99" s="28">
        <f>COUNTIF($C$4:$N$69, "B2B(A)/B2B('C)/TEOM(B)")</f>
        <v>0</v>
      </c>
      <c r="F99" s="28">
        <f>COUNTIF($C$4:$N$69, "B2B('C)/AN(A)/TEOM(B)")</f>
        <v>0</v>
      </c>
      <c r="G99" s="28"/>
      <c r="H99" s="28">
        <f>COUNTIF($C$4:$N$69, "TEOM(B)")</f>
        <v>0</v>
      </c>
      <c r="I99" s="28"/>
      <c r="J99" s="28"/>
      <c r="K99" s="28"/>
      <c r="L99" s="28"/>
      <c r="M99" s="28"/>
      <c r="N99" s="28">
        <f t="shared" si="4"/>
        <v>21</v>
      </c>
    </row>
    <row r="100" spans="3:14" ht="18" customHeight="1" x14ac:dyDescent="0.35">
      <c r="C100" s="9" t="s">
        <v>103</v>
      </c>
      <c r="D100" s="28">
        <f>COUNTIF($C$4:$N$69, "DV&amp;VS(A)/DV&amp;VS(D)")</f>
        <v>26</v>
      </c>
      <c r="E100" s="28">
        <f>COUNTIF($C$4:$N$69, "DV&amp;VS(A)")</f>
        <v>0</v>
      </c>
      <c r="F100" s="28"/>
      <c r="G100" s="2"/>
      <c r="H100" s="2"/>
      <c r="I100" s="2"/>
      <c r="J100" s="2"/>
      <c r="K100" s="2"/>
      <c r="L100" s="2"/>
      <c r="M100" s="2"/>
      <c r="N100" s="28">
        <f t="shared" si="4"/>
        <v>26</v>
      </c>
    </row>
    <row r="101" spans="3:14" ht="18" customHeight="1" x14ac:dyDescent="0.35">
      <c r="C101" s="9" t="s">
        <v>104</v>
      </c>
      <c r="D101" s="28">
        <f>COUNTIF($C$4:$N$69, "TEOM(A)/CSE/DV&amp;VS(B)/DV&amp;VS('C)")</f>
        <v>13</v>
      </c>
      <c r="E101" s="28">
        <f>COUNTIF($C$4:$N$69, "CSE/DV&amp;VS(B)")</f>
        <v>0</v>
      </c>
      <c r="F101" s="28">
        <f>COUNTIF($C$4:$N$69, "DV&amp;VS(B)/DV&amp;VS('C)/DM(B)")</f>
        <v>13</v>
      </c>
      <c r="G101" s="28">
        <f>COUNTIF($C$4:$N$69, "TEOM(A)/CSE/DV&amp;VS(B)")</f>
        <v>0</v>
      </c>
      <c r="H101" s="28">
        <f>COUNTIF($C$4:$N$69, "TEOM(A)/DV&amp;VS(B)/DV&amp;VS('C)")</f>
        <v>2</v>
      </c>
      <c r="I101" s="28"/>
      <c r="J101" s="2"/>
      <c r="K101" s="2"/>
      <c r="L101" s="2"/>
      <c r="M101" s="2"/>
      <c r="N101" s="28">
        <f t="shared" si="4"/>
        <v>28</v>
      </c>
    </row>
    <row r="102" spans="3:14" ht="18" customHeight="1" x14ac:dyDescent="0.35">
      <c r="C102" s="9" t="s">
        <v>243</v>
      </c>
      <c r="D102" s="28">
        <f>COUNTIF($C$4:$N$69, "TEOM(A)/CSE/DV&amp;VS(B)/DV&amp;VS('C)")</f>
        <v>13</v>
      </c>
      <c r="E102" s="28">
        <f>COUNTIF($C$4:$N$69, "TEOM(A)/CSE/DV&amp;VS('C)")</f>
        <v>1</v>
      </c>
      <c r="F102" s="28">
        <f>COUNTIF($C$4:$N$69, "DV&amp;VS(B)/DV&amp;VS('C)/DM(B)")</f>
        <v>13</v>
      </c>
      <c r="G102" s="28">
        <f>COUNTIF($C$4:$N$69, "DV&amp;VS('C)/DM(B)")</f>
        <v>1</v>
      </c>
      <c r="H102" s="28">
        <f>COUNTIF($C$4:$N$69, "TEOM(A)/DV&amp;VS(B)/DV&amp;VS('C)")</f>
        <v>2</v>
      </c>
      <c r="I102" s="2"/>
      <c r="J102" s="2"/>
      <c r="K102" s="2"/>
      <c r="L102" s="2"/>
      <c r="M102" s="2"/>
      <c r="N102" s="28">
        <f t="shared" si="4"/>
        <v>30</v>
      </c>
    </row>
    <row r="103" spans="3:14" ht="18" customHeight="1" x14ac:dyDescent="0.35">
      <c r="C103" s="9" t="s">
        <v>244</v>
      </c>
      <c r="D103" s="28">
        <f>COUNTIF($C$4:$N$69, "DV&amp;VS(A)/DV&amp;VS(D)")</f>
        <v>26</v>
      </c>
      <c r="E103" s="28">
        <f>COUNTIF($C$4:$N$69, "DM(B)/DC(A)")</f>
        <v>0</v>
      </c>
      <c r="F103" s="28">
        <f>COUNTIF($C$4:$N$69, "SCM(A)/DC(A)")</f>
        <v>0</v>
      </c>
      <c r="G103" s="28">
        <f>COUNTIF($C$4:$N$69, "DC(A)/DC(B)")</f>
        <v>0</v>
      </c>
      <c r="H103" s="2"/>
      <c r="I103" s="2"/>
      <c r="J103" s="2"/>
      <c r="K103" s="2"/>
      <c r="L103" s="2"/>
      <c r="M103" s="2"/>
      <c r="N103" s="28">
        <f t="shared" si="4"/>
        <v>26</v>
      </c>
    </row>
    <row r="104" spans="3:14" ht="18" customHeight="1" x14ac:dyDescent="0.35">
      <c r="C104" s="9" t="s">
        <v>43</v>
      </c>
      <c r="D104" s="28">
        <f>COUNTIF($C$4:$N$69, "DC")</f>
        <v>20</v>
      </c>
      <c r="E104" s="28">
        <f>COUNTIF($C$4:$N$69, "DM(A)/DC(B)")</f>
        <v>0</v>
      </c>
      <c r="F104" s="28">
        <f>COUNTIF($C$4:$N$69, "SCM(B)/DC(B)")</f>
        <v>0</v>
      </c>
      <c r="G104" s="28">
        <f>COUNTIF($C$4:$N$69, "DC(A)/DC(B)")</f>
        <v>0</v>
      </c>
      <c r="H104" s="2"/>
      <c r="I104" s="2"/>
      <c r="J104" s="2"/>
      <c r="K104" s="2"/>
      <c r="L104" s="2"/>
      <c r="M104" s="2"/>
      <c r="N104" s="28">
        <f t="shared" si="4"/>
        <v>20</v>
      </c>
    </row>
    <row r="105" spans="3:14" ht="18" customHeight="1" x14ac:dyDescent="0.35">
      <c r="C105" s="9" t="s">
        <v>114</v>
      </c>
      <c r="D105" s="28">
        <f>COUNTIF($C$4:$N$69, "CC&amp;AU(B)/ML&amp;AI(A)/LSS(B)")</f>
        <v>19</v>
      </c>
      <c r="E105" s="28">
        <f>COUNTIF($C$4:$N$69, "ML&amp;AI(A)/LSS(B)")</f>
        <v>0</v>
      </c>
      <c r="F105" s="28"/>
      <c r="G105" s="2"/>
      <c r="H105" s="2"/>
      <c r="I105" s="2"/>
      <c r="J105" s="2"/>
      <c r="K105" s="2"/>
      <c r="L105" s="2"/>
      <c r="M105" s="2"/>
      <c r="N105" s="28">
        <f t="shared" si="4"/>
        <v>19</v>
      </c>
    </row>
    <row r="106" spans="3:14" ht="18" customHeight="1" x14ac:dyDescent="0.35">
      <c r="C106" s="9" t="s">
        <v>115</v>
      </c>
      <c r="D106" s="28">
        <f>COUNTIF($C$4:$N$69, "CC&amp;AU(A)/ML&amp;AI(B)/IMC(A)")</f>
        <v>16</v>
      </c>
      <c r="E106" s="28">
        <f>COUNTIF($C$4:$N$69, "ML&amp;AI(B)/IMC(A)")</f>
        <v>0</v>
      </c>
      <c r="F106" s="28">
        <f>COUNTIF($C$4:$N$69, "CC&amp;AU(A)/ML&amp;AI(B)")</f>
        <v>3</v>
      </c>
      <c r="G106" s="2"/>
      <c r="H106" s="2"/>
      <c r="I106" s="2"/>
      <c r="J106" s="2"/>
      <c r="K106" s="2"/>
      <c r="L106" s="2"/>
      <c r="M106" s="2"/>
      <c r="N106" s="28">
        <f t="shared" si="4"/>
        <v>19</v>
      </c>
    </row>
    <row r="107" spans="3:14" ht="18" customHeight="1" x14ac:dyDescent="0.35">
      <c r="C107" s="9" t="s">
        <v>88</v>
      </c>
      <c r="D107" s="28">
        <f>COUNTIF($C$4:$N$69, "DADM/SMKT(B)/SMKT(A)")</f>
        <v>16</v>
      </c>
      <c r="E107" s="28">
        <f>COUNTIF($C$4:$N$69, "DADM/SMKT(A)")</f>
        <v>3</v>
      </c>
      <c r="F107" s="28">
        <f>COUNTIF($C$4:$N$69, "SBM(B)/DADM")</f>
        <v>0</v>
      </c>
      <c r="G107" s="2"/>
      <c r="H107" s="28">
        <f>COUNTIF($C$4:$N$69, "DADM")</f>
        <v>1</v>
      </c>
      <c r="I107" s="2"/>
      <c r="J107" s="2"/>
      <c r="K107" s="2"/>
      <c r="L107" s="2"/>
      <c r="M107" s="2"/>
      <c r="N107" s="28">
        <f>SUM(D107:M107)</f>
        <v>20</v>
      </c>
    </row>
    <row r="108" spans="3:14" ht="18" customHeight="1" x14ac:dyDescent="0.35">
      <c r="C108" s="9" t="s">
        <v>118</v>
      </c>
      <c r="D108" s="28">
        <f>COUNTIF($C$4:$N$69, "CC&amp;AU(B)/ML&amp;AI(A)/LSS(B)")</f>
        <v>19</v>
      </c>
      <c r="E108" s="28">
        <f>COUNTIF($C$4:$N$69, "ML&amp;AI(A)/LSS(B)")</f>
        <v>0</v>
      </c>
      <c r="F108" s="28">
        <f>COUNTIF($C$4:$N$69, "LSS(A)/LSS(B)")</f>
        <v>0</v>
      </c>
      <c r="G108" s="2"/>
      <c r="H108" s="28"/>
      <c r="I108" s="2"/>
      <c r="J108" s="2"/>
      <c r="K108" s="2"/>
      <c r="L108" s="2"/>
      <c r="M108" s="2"/>
      <c r="N108" s="28">
        <f t="shared" si="4"/>
        <v>19</v>
      </c>
    </row>
    <row r="109" spans="3:14" ht="18" customHeight="1" x14ac:dyDescent="0.35">
      <c r="C109" s="9" t="s">
        <v>116</v>
      </c>
      <c r="D109" s="28">
        <f>COUNTIF($C$4:$N$69, "LSS(A)/BS")</f>
        <v>19</v>
      </c>
      <c r="E109" s="28">
        <f>COUNTIF($C$4:$N$69, "LSS(A)")</f>
        <v>0</v>
      </c>
      <c r="F109" s="28">
        <f>COUNTIF($C$4:$N$69, "LSS(A)/SMKT(A)")</f>
        <v>0</v>
      </c>
      <c r="G109" s="2"/>
      <c r="H109" s="28">
        <f>COUNTIF($C$4:$N$69, "LSS(A)/LSS(B)")</f>
        <v>0</v>
      </c>
      <c r="I109" s="2"/>
      <c r="J109" s="2"/>
      <c r="K109" s="2"/>
      <c r="L109" s="2"/>
      <c r="M109" s="2"/>
      <c r="N109" s="28">
        <f t="shared" si="4"/>
        <v>19</v>
      </c>
    </row>
    <row r="110" spans="3:14" ht="18" customHeight="1" x14ac:dyDescent="0.35">
      <c r="C110" s="9" t="s">
        <v>105</v>
      </c>
      <c r="D110" s="28">
        <f>COUNTIF($C$4:$N$69, "OMSD")</f>
        <v>22</v>
      </c>
      <c r="E110" s="28">
        <f>COUNTIF($C$4:$N$69, "OM&amp;SD")</f>
        <v>0</v>
      </c>
      <c r="F110" s="28"/>
      <c r="G110" s="2"/>
      <c r="H110" s="2"/>
      <c r="I110" s="2"/>
      <c r="J110" s="2"/>
      <c r="K110" s="2"/>
      <c r="L110" s="2"/>
      <c r="M110" s="2"/>
      <c r="N110" s="28">
        <f t="shared" si="4"/>
        <v>22</v>
      </c>
    </row>
    <row r="111" spans="3:14" ht="18" customHeight="1" x14ac:dyDescent="0.35">
      <c r="C111" s="9" t="s">
        <v>10</v>
      </c>
      <c r="D111" s="28">
        <f>COUNTIF($C$4:$N$69, "INB('C)/SCM(A)/DRM(B)")</f>
        <v>20</v>
      </c>
      <c r="E111" s="28">
        <f>COUNTIF($C$4:$N$69, "SCM(A)/DRM(B)")</f>
        <v>0</v>
      </c>
      <c r="F111" s="28">
        <f>COUNTIF($C$4:$N$69, "SCM(A)/SCM(B)/SCM('C)")</f>
        <v>0</v>
      </c>
      <c r="G111" s="2"/>
      <c r="H111" s="28"/>
      <c r="I111" s="2"/>
      <c r="J111" s="2"/>
      <c r="K111" s="2"/>
      <c r="L111" s="2"/>
      <c r="M111" s="2"/>
      <c r="N111" s="28">
        <f t="shared" si="4"/>
        <v>20</v>
      </c>
    </row>
    <row r="112" spans="3:14" ht="18" customHeight="1" x14ac:dyDescent="0.35">
      <c r="C112" s="9" t="s">
        <v>11</v>
      </c>
      <c r="D112" s="28">
        <f>COUNTIF($C$4:$N$69, "INB(A)/SCM(B)/PDBE(B)")</f>
        <v>20</v>
      </c>
      <c r="E112" s="28">
        <f>COUNTIF($C$4:$N$69, "SCM(B)/PDBE(B)")</f>
        <v>0</v>
      </c>
      <c r="F112" s="28">
        <f>COUNTIF($C$4:$N$69, "SCM(A)/SCM(B)/SCM('C)")</f>
        <v>0</v>
      </c>
      <c r="G112" s="28">
        <f>COUNTIF($C$4:$N$69, "INB(A)/SCM(B)")</f>
        <v>0</v>
      </c>
      <c r="H112" s="28"/>
      <c r="I112" s="2"/>
      <c r="J112" s="2"/>
      <c r="K112" s="2"/>
      <c r="L112" s="2"/>
      <c r="M112" s="2"/>
      <c r="N112" s="28">
        <f t="shared" si="4"/>
        <v>20</v>
      </c>
    </row>
    <row r="113" spans="3:14" ht="18" customHeight="1" x14ac:dyDescent="0.35">
      <c r="C113" s="9" t="s">
        <v>245</v>
      </c>
      <c r="D113" s="28">
        <f>COUNTIF($C$4:$N$69, "INB(B)/SCM('C)/PDBE(A)")</f>
        <v>20</v>
      </c>
      <c r="E113" s="28">
        <f>COUNTIF($C$4:$N$69, "SCM('C)/PDBE(A)")</f>
        <v>0</v>
      </c>
      <c r="F113" s="28">
        <f>COUNTIF($C$4:$N$69, "SCM(A)/SCM(B)/SCM('C)")</f>
        <v>0</v>
      </c>
      <c r="G113" s="28">
        <f>COUNTIF($C$4:$N$69, "INB(B)/SCM('C)")</f>
        <v>0</v>
      </c>
      <c r="H113" s="28"/>
      <c r="I113" s="2"/>
      <c r="J113" s="2"/>
      <c r="K113" s="2"/>
      <c r="L113" s="2"/>
      <c r="M113" s="2"/>
      <c r="N113" s="28">
        <f t="shared" si="4"/>
        <v>20</v>
      </c>
    </row>
    <row r="114" spans="3:14" ht="18" customHeight="1" x14ac:dyDescent="0.35">
      <c r="C114" s="9" t="s">
        <v>99</v>
      </c>
      <c r="D114" s="28">
        <f>COUNTIF($C$4:$N$69, "TEOM(A)/CSE/DV&amp;VS(B)/DV&amp;VS('C)")</f>
        <v>13</v>
      </c>
      <c r="E114" s="28">
        <f>COUNTIF($C$4:$N$69, "TEOM(A)/CSE")</f>
        <v>5</v>
      </c>
      <c r="F114" s="28">
        <f>COUNTIF($C$4:$N$69, "CSE/DV&amp;VS(B)")</f>
        <v>0</v>
      </c>
      <c r="G114" s="28">
        <f>COUNTIF($C$4:$N$69, "INB(A)/SCM(B)")</f>
        <v>0</v>
      </c>
      <c r="H114" s="28">
        <f>COUNTIF($C$4:$N$69, "TEOM(A)/CSE/DV&amp;VS('C)")</f>
        <v>1</v>
      </c>
      <c r="I114" s="2"/>
      <c r="J114" s="2"/>
      <c r="K114" s="2"/>
      <c r="L114" s="2"/>
      <c r="M114" s="2"/>
      <c r="N114" s="28">
        <f t="shared" si="4"/>
        <v>19</v>
      </c>
    </row>
    <row r="115" spans="3:14" ht="18" customHeight="1" x14ac:dyDescent="0.35">
      <c r="C115" s="9" t="s">
        <v>156</v>
      </c>
      <c r="D115" s="28">
        <f>COUNTIF($C$4:$N$69, "LSS(A)/BS")</f>
        <v>19</v>
      </c>
      <c r="E115" s="28">
        <f>COUNTIF($C$4:$N$69, "BS")</f>
        <v>12</v>
      </c>
      <c r="F115" s="28">
        <f>COUNTIF($C$4:$N$69, "VALU(A)/BS")</f>
        <v>0</v>
      </c>
      <c r="G115" s="28">
        <f>COUNTIF($C$4:$N$69, "VALU(A)/VALU('C)/BS")</f>
        <v>2</v>
      </c>
      <c r="H115" s="2"/>
      <c r="I115" s="2"/>
      <c r="J115" s="2"/>
      <c r="K115" s="2"/>
      <c r="L115" s="2"/>
      <c r="M115" s="2"/>
      <c r="N115" s="28">
        <f t="shared" ref="N115" si="5">SUM(D115:M115)</f>
        <v>33</v>
      </c>
    </row>
  </sheetData>
  <mergeCells count="20">
    <mergeCell ref="S3:AE3"/>
    <mergeCell ref="AE1:AE2"/>
    <mergeCell ref="S69:AE69"/>
    <mergeCell ref="S8:AE8"/>
    <mergeCell ref="S55:AE57"/>
    <mergeCell ref="S58:AE58"/>
    <mergeCell ref="S59:AE59"/>
    <mergeCell ref="S60:AE61"/>
    <mergeCell ref="R1:R2"/>
    <mergeCell ref="Q1:Q2"/>
    <mergeCell ref="C3:N3"/>
    <mergeCell ref="C69:N69"/>
    <mergeCell ref="O1:O2"/>
    <mergeCell ref="C8:N8"/>
    <mergeCell ref="A1:A2"/>
    <mergeCell ref="B1:B2"/>
    <mergeCell ref="C55:N57"/>
    <mergeCell ref="C58:N58"/>
    <mergeCell ref="C59:N59"/>
    <mergeCell ref="C60:N61"/>
  </mergeCells>
  <conditionalFormatting sqref="C3">
    <cfRule type="cellIs" dxfId="18" priority="568" stopIfTrue="1" operator="equal">
      <formula>"French-1"</formula>
    </cfRule>
  </conditionalFormatting>
  <conditionalFormatting sqref="C58:N58">
    <cfRule type="containsText" dxfId="16" priority="52" operator="containsText" text="DRM(B)">
      <formula>NOT(ISERROR(SEARCH("DRM(B)",C58)))</formula>
    </cfRule>
  </conditionalFormatting>
  <conditionalFormatting sqref="E4">
    <cfRule type="containsText" dxfId="15" priority="13" operator="containsText" text="DRM(B)">
      <formula>NOT(ISERROR(SEARCH("DRM(B)",E4)))</formula>
    </cfRule>
  </conditionalFormatting>
  <conditionalFormatting sqref="S3">
    <cfRule type="cellIs" dxfId="14" priority="33" stopIfTrue="1" operator="equal">
      <formula>"French-1"</formula>
    </cfRule>
  </conditionalFormatting>
  <conditionalFormatting sqref="S32:AE33">
    <cfRule type="containsText" dxfId="13" priority="47" operator="containsText" text="DRM(B)">
      <formula>NOT(ISERROR(SEARCH("DRM(B)",S32)))</formula>
    </cfRule>
  </conditionalFormatting>
  <conditionalFormatting sqref="S39:AE40">
    <cfRule type="containsText" dxfId="12" priority="43" operator="containsText" text="DRM(B)">
      <formula>NOT(ISERROR(SEARCH("DRM(B)",S39)))</formula>
    </cfRule>
  </conditionalFormatting>
  <conditionalFormatting sqref="S46:AE47">
    <cfRule type="containsText" dxfId="11" priority="42" operator="containsText" text="DRM(B)">
      <formula>NOT(ISERROR(SEARCH("DRM(B)",S46)))</formula>
    </cfRule>
  </conditionalFormatting>
  <conditionalFormatting sqref="S53:AE54">
    <cfRule type="containsText" dxfId="10" priority="35" operator="containsText" text="DRM(B)">
      <formula>NOT(ISERROR(SEARCH("DRM(B)",S53)))</formula>
    </cfRule>
  </conditionalFormatting>
  <conditionalFormatting sqref="S58:AE58">
    <cfRule type="containsText" dxfId="9" priority="34" operator="containsText" text="DRM(B)">
      <formula>NOT(ISERROR(SEARCH("DRM(B)",S58)))</formula>
    </cfRule>
  </conditionalFormatting>
  <conditionalFormatting sqref="S4:AE5 S8:AE8 S11:AE12 S18:AE19 S25:AE26">
    <cfRule type="containsText" dxfId="8" priority="51" operator="containsText" text="DRM(B)">
      <formula>NOT(ISERROR(SEARCH("DRM(B)",S4)))</formula>
    </cfRule>
  </conditionalFormatting>
  <conditionalFormatting sqref="AE6:AE7">
    <cfRule type="containsText" dxfId="7" priority="8" operator="containsText" text="DRM(B)">
      <formula>NOT(ISERROR(SEARCH("DRM(B)",AE6)))</formula>
    </cfRule>
  </conditionalFormatting>
  <conditionalFormatting sqref="AE9:AE10">
    <cfRule type="containsText" dxfId="6" priority="7" operator="containsText" text="DRM(B)">
      <formula>NOT(ISERROR(SEARCH("DRM(B)",AE9)))</formula>
    </cfRule>
  </conditionalFormatting>
  <conditionalFormatting sqref="AE13:AE17">
    <cfRule type="containsText" dxfId="5" priority="6" operator="containsText" text="DRM(B)">
      <formula>NOT(ISERROR(SEARCH("DRM(B)",AE13)))</formula>
    </cfRule>
  </conditionalFormatting>
  <conditionalFormatting sqref="AE20:AE24">
    <cfRule type="containsText" dxfId="4" priority="5" operator="containsText" text="DRM(B)">
      <formula>NOT(ISERROR(SEARCH("DRM(B)",AE20)))</formula>
    </cfRule>
  </conditionalFormatting>
  <conditionalFormatting sqref="AE27:AE31">
    <cfRule type="containsText" dxfId="3" priority="4" operator="containsText" text="DRM(B)">
      <formula>NOT(ISERROR(SEARCH("DRM(B)",AE27)))</formula>
    </cfRule>
  </conditionalFormatting>
  <conditionalFormatting sqref="AE34:AE38">
    <cfRule type="containsText" dxfId="2" priority="3" operator="containsText" text="DRM(B)">
      <formula>NOT(ISERROR(SEARCH("DRM(B)",AE34)))</formula>
    </cfRule>
  </conditionalFormatting>
  <conditionalFormatting sqref="AE41:AE45">
    <cfRule type="containsText" dxfId="1" priority="2" operator="containsText" text="DRM(B)">
      <formula>NOT(ISERROR(SEARCH("DRM(B)",AE41)))</formula>
    </cfRule>
  </conditionalFormatting>
  <conditionalFormatting sqref="AE48:AE52">
    <cfRule type="containsText" dxfId="0" priority="1" operator="containsText" text="DRM(B)">
      <formula>NOT(ISERROR(SEARCH("DRM(B)",AE48)))</formula>
    </cfRule>
  </conditionalFormatting>
  <pageMargins left="0.23622047244094491" right="0.19685039370078741" top="1.1023622047244095" bottom="0.27559055118110237" header="0.27559055118110237" footer="0.19685039370078741"/>
  <pageSetup paperSize="9" scale="34" orientation="portrait" r:id="rId1"/>
  <headerFooter alignWithMargins="0">
    <oddHeader>&amp;C&amp;"times,Bold"&amp;17Institute of Management, Nirma University
Master of Business Administration
Batch: 20201 - 2023 (Term - V)
Daily Class Schedule</oddHeader>
  </headerFooter>
  <rowBreaks count="2" manualBreakCount="2">
    <brk id="23" max="13" man="1"/>
    <brk id="114" max="14" man="1"/>
  </rowBreaks>
  <colBreaks count="1" manualBreakCount="1">
    <brk id="14" max="1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Course Detail-Term-V</vt:lpstr>
      <vt:lpstr>Class Schedule-Term-V</vt:lpstr>
      <vt:lpstr>'Class Schedule-Term-V'!Print_Area</vt:lpstr>
      <vt:lpstr>'Course Detail-Term-V'!Print_Area</vt:lpstr>
      <vt:lpstr>'Class Schedule-Term-V'!Print_Titles</vt:lpstr>
    </vt:vector>
  </TitlesOfParts>
  <Company>nim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Vishesh Kanoongo</cp:lastModifiedBy>
  <cp:lastPrinted>2025-09-24T10:20:09Z</cp:lastPrinted>
  <dcterms:created xsi:type="dcterms:W3CDTF">2007-05-07T07:18:13Z</dcterms:created>
  <dcterms:modified xsi:type="dcterms:W3CDTF">2025-11-01T07:10:28Z</dcterms:modified>
</cp:coreProperties>
</file>