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6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drawings/drawing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drawings/drawing8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9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drawings/drawing10.xml" ContentType="application/vnd.openxmlformats-officedocument.drawing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Vishal Kumar\Desktop\SANA-1016 - Scorecard Automation Project\python_code\"/>
    </mc:Choice>
  </mc:AlternateContent>
  <bookViews>
    <workbookView xWindow="0" yWindow="0" windowWidth="28800" windowHeight="13020" tabRatio="908" activeTab="1" xr2:uid="{00000000-000D-0000-FFFF-FFFF00000000}"/>
  </bookViews>
  <sheets>
    <sheet name="Team" sheetId="29" r:id="rId1"/>
    <sheet name="Campaign" sheetId="6" r:id="rId2"/>
    <sheet name="Partner" sheetId="17" r:id="rId3"/>
    <sheet name="Campaign &amp; Partner" sheetId="23" r:id="rId4"/>
    <sheet name="Partner &amp; Placement" sheetId="24" state="hidden" r:id="rId5"/>
    <sheet name="Device" sheetId="27" state="hidden" r:id="rId6"/>
    <sheet name="Campaign &amp; Device" sheetId="25" state="hidden" r:id="rId7"/>
    <sheet name="Partner &amp; Device" sheetId="26" state="hidden" r:id="rId8"/>
    <sheet name="Campaign, Partner, Device" sheetId="28" state="hidden" r:id="rId9"/>
    <sheet name="Benchmarks" sheetId="12" r:id="rId10"/>
    <sheet name="Mapping" sheetId="16" state="hidden" r:id="rId11"/>
  </sheets>
  <definedNames>
    <definedName name="Bar_Dropdown_List" localSheetId="6">OFFSET(#REF!,1,0,COUNTIF(#REF!,"&lt;&gt;0"),1)</definedName>
    <definedName name="Bar_Dropdown_List" localSheetId="3">OFFSET(#REF!,1,0,COUNTIF(#REF!,"&lt;&gt;0"),1)</definedName>
    <definedName name="Bar_Dropdown_List" localSheetId="8">OFFSET(#REF!,1,0,COUNTIF(#REF!,"&lt;&gt;0"),1)</definedName>
    <definedName name="Bar_Dropdown_List" localSheetId="5">OFFSET(#REF!,1,0,COUNTIF(#REF!,"&lt;&gt;0"),1)</definedName>
    <definedName name="Bar_Dropdown_List" localSheetId="7">OFFSET(#REF!,1,0,COUNTIF(#REF!,"&lt;&gt;0"),1)</definedName>
    <definedName name="Bar_Dropdown_List" localSheetId="4">OFFSET(#REF!,1,0,COUNTIF(#REF!,"&lt;&gt;0"),1)</definedName>
    <definedName name="Bar_Dropdown_List" localSheetId="0">OFFSET(#REF!,1,0,COUNTIF(#REF!,"&lt;&gt;0"),1)</definedName>
    <definedName name="Bar_Dropdown_List">OFFSET(#REF!,1,0,COUNTIF(#REF!,"&lt;&gt;0"),1)</definedName>
    <definedName name="Benchmark_Headers">Benchmark_Legend[#Headers]</definedName>
    <definedName name="BMRK_List">OFFSET(Benchmarks!$C$4,0,0,1,COUNTA(Benchmarks!$C$4:$ZN$4))</definedName>
    <definedName name="DeviceDropdown">Mapping!$P$4:$P$13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RAQtion_Graph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28" l="1" a="1"/>
  <c r="K9" i="28" s="1"/>
  <c r="U9" i="25" a="1"/>
  <c r="U9" i="25" s="1"/>
  <c r="Z9" i="23" a="1"/>
  <c r="Z9" i="23" s="1"/>
  <c r="X9" i="23" a="1"/>
  <c r="X9" i="23" s="1"/>
  <c r="AA9" i="6" a="1"/>
  <c r="AA9" i="6" s="1"/>
  <c r="Z9" i="6" a="1"/>
  <c r="Z9" i="6" s="1"/>
  <c r="X9" i="6" a="1"/>
  <c r="X9" i="6" s="1"/>
  <c r="V9" i="29" a="1"/>
  <c r="V9" i="29" s="1"/>
  <c r="U9" i="29" a="1"/>
  <c r="U9" i="29" s="1"/>
  <c r="W9" i="6" a="1"/>
  <c r="W9" i="6" s="1"/>
  <c r="Y9" i="28" l="1" a="1"/>
  <c r="Y9" i="28" s="1"/>
  <c r="X9" i="28" a="1"/>
  <c r="X9" i="28" s="1"/>
  <c r="W9" i="28" a="1"/>
  <c r="W9" i="28" s="1"/>
  <c r="V9" i="28" a="1"/>
  <c r="V9" i="28" s="1"/>
  <c r="U9" i="28" a="1"/>
  <c r="U9" i="28" s="1"/>
  <c r="Y9" i="26" a="1"/>
  <c r="Y9" i="26" s="1"/>
  <c r="X9" i="26" a="1"/>
  <c r="X9" i="26" s="1"/>
  <c r="W9" i="26" a="1"/>
  <c r="W9" i="26" s="1"/>
  <c r="V9" i="26" a="1"/>
  <c r="V9" i="26" s="1"/>
  <c r="U9" i="26" a="1"/>
  <c r="U9" i="26" s="1"/>
  <c r="Y9" i="25" a="1"/>
  <c r="Y9" i="25" s="1"/>
  <c r="X9" i="25" a="1"/>
  <c r="X9" i="25" s="1"/>
  <c r="W9" i="25" a="1"/>
  <c r="W9" i="25" s="1"/>
  <c r="V9" i="25" a="1"/>
  <c r="V9" i="25" s="1"/>
  <c r="Y9" i="27" a="1"/>
  <c r="Y9" i="27" s="1"/>
  <c r="X9" i="27" a="1"/>
  <c r="X9" i="27" s="1"/>
  <c r="W9" i="27" a="1"/>
  <c r="W9" i="27" s="1"/>
  <c r="V9" i="27" a="1"/>
  <c r="V9" i="27" s="1"/>
  <c r="U9" i="27" a="1"/>
  <c r="U9" i="27" s="1"/>
  <c r="Y9" i="24" a="1"/>
  <c r="Y9" i="24" s="1"/>
  <c r="X9" i="24" a="1"/>
  <c r="X9" i="24" s="1"/>
  <c r="W9" i="24" a="1"/>
  <c r="W9" i="24" s="1"/>
  <c r="V9" i="24" a="1"/>
  <c r="V9" i="24" s="1"/>
  <c r="U9" i="24" a="1"/>
  <c r="U9" i="24" s="1"/>
  <c r="Y9" i="23" a="1"/>
  <c r="Y9" i="23" s="1"/>
  <c r="W9" i="23" a="1"/>
  <c r="W9" i="23" s="1"/>
  <c r="V9" i="23" a="1"/>
  <c r="V9" i="23" s="1"/>
  <c r="U9" i="23" a="1"/>
  <c r="U9" i="23" s="1"/>
  <c r="Y9" i="17" a="1"/>
  <c r="Y9" i="17" s="1"/>
  <c r="X9" i="17" a="1"/>
  <c r="X9" i="17" s="1"/>
  <c r="W9" i="17" a="1"/>
  <c r="W9" i="17" s="1"/>
  <c r="V9" i="17" a="1"/>
  <c r="V9" i="17" s="1"/>
  <c r="U9" i="17" a="1"/>
  <c r="U9" i="17" s="1"/>
  <c r="Y9" i="6" a="1"/>
  <c r="Y9" i="6" s="1"/>
  <c r="V9" i="6" a="1"/>
  <c r="V9" i="6" s="1"/>
  <c r="U9" i="6" a="1"/>
  <c r="U9" i="6" s="1"/>
  <c r="Y9" i="29" a="1"/>
  <c r="Y9" i="29" s="1"/>
  <c r="X9" i="29" a="1"/>
  <c r="X9" i="29" s="1"/>
  <c r="W9" i="29" a="1"/>
  <c r="W9" i="29" s="1"/>
  <c r="E8" i="26" l="1"/>
  <c r="E8" i="17"/>
  <c r="D8" i="6"/>
  <c r="B16" i="28" l="1"/>
  <c r="B16" i="26"/>
  <c r="B16" i="25"/>
  <c r="L8" i="28" l="1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L8" i="26"/>
  <c r="M8" i="26"/>
  <c r="N8" i="26"/>
  <c r="O8" i="26"/>
  <c r="P8" i="26"/>
  <c r="Q8" i="26"/>
  <c r="R8" i="26"/>
  <c r="S8" i="26"/>
  <c r="T8" i="26"/>
  <c r="U8" i="26"/>
  <c r="V8" i="26"/>
  <c r="W8" i="26"/>
  <c r="X8" i="26"/>
  <c r="Y8" i="26"/>
  <c r="Z8" i="26"/>
  <c r="AA8" i="26"/>
  <c r="L8" i="25"/>
  <c r="M8" i="25"/>
  <c r="N8" i="25"/>
  <c r="O8" i="25"/>
  <c r="P8" i="25"/>
  <c r="Q8" i="25"/>
  <c r="R8" i="25"/>
  <c r="S8" i="25"/>
  <c r="T8" i="25"/>
  <c r="U8" i="25"/>
  <c r="V8" i="25"/>
  <c r="W8" i="25"/>
  <c r="X8" i="25"/>
  <c r="Y8" i="25"/>
  <c r="Z8" i="25"/>
  <c r="AA8" i="25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K8" i="17"/>
  <c r="K8" i="28"/>
  <c r="K8" i="26"/>
  <c r="K8" i="25"/>
  <c r="K8" i="27"/>
  <c r="K8" i="24"/>
  <c r="K8" i="23"/>
  <c r="K8" i="6"/>
  <c r="K8" i="29"/>
  <c r="B16" i="24"/>
  <c r="N11" i="24" s="1" a="1"/>
  <c r="N11" i="24" s="1"/>
  <c r="B16" i="23"/>
  <c r="Q11" i="6" a="1"/>
  <c r="Q11" i="6" s="1"/>
  <c r="AA10" i="6" a="1"/>
  <c r="AA10" i="6" s="1"/>
  <c r="Z10" i="6" a="1"/>
  <c r="Z10" i="6" s="1"/>
  <c r="Y10" i="6" a="1"/>
  <c r="Y10" i="6" s="1"/>
  <c r="X10" i="6" a="1"/>
  <c r="X10" i="6" s="1"/>
  <c r="W10" i="6" a="1"/>
  <c r="W10" i="6" s="1"/>
  <c r="V10" i="6" a="1"/>
  <c r="V10" i="6" s="1"/>
  <c r="U10" i="6" a="1"/>
  <c r="U10" i="6" s="1"/>
  <c r="T10" i="6" a="1"/>
  <c r="T10" i="6" s="1"/>
  <c r="S10" i="6" a="1"/>
  <c r="S10" i="6" s="1"/>
  <c r="R10" i="6" a="1"/>
  <c r="R10" i="6" s="1"/>
  <c r="Q10" i="6" a="1"/>
  <c r="Q10" i="6" s="1"/>
  <c r="P10" i="6" a="1"/>
  <c r="P10" i="6" s="1"/>
  <c r="O10" i="6" a="1"/>
  <c r="O10" i="6" s="1"/>
  <c r="N10" i="6" a="1"/>
  <c r="N10" i="6" s="1"/>
  <c r="M10" i="6" a="1"/>
  <c r="M10" i="6" s="1"/>
  <c r="L10" i="6" a="1"/>
  <c r="L10" i="6" s="1"/>
  <c r="K10" i="6" a="1"/>
  <c r="K10" i="6" s="1"/>
  <c r="Y11" i="17" a="1"/>
  <c r="Y11" i="17" s="1"/>
  <c r="U11" i="17" a="1"/>
  <c r="U11" i="17" s="1"/>
  <c r="M11" i="17" a="1"/>
  <c r="M11" i="17" s="1"/>
  <c r="AA10" i="17" a="1"/>
  <c r="AA10" i="17" s="1"/>
  <c r="Z10" i="17" a="1"/>
  <c r="Z10" i="17" s="1"/>
  <c r="Y10" i="17" a="1"/>
  <c r="Y10" i="17" s="1"/>
  <c r="X10" i="17" a="1"/>
  <c r="X10" i="17" s="1"/>
  <c r="W10" i="17" a="1"/>
  <c r="W10" i="17" s="1"/>
  <c r="V10" i="17" a="1"/>
  <c r="V10" i="17" s="1"/>
  <c r="U10" i="17" a="1"/>
  <c r="U10" i="17" s="1"/>
  <c r="T10" i="17" a="1"/>
  <c r="T10" i="17" s="1"/>
  <c r="S10" i="17" a="1"/>
  <c r="S10" i="17" s="1"/>
  <c r="R10" i="17" a="1"/>
  <c r="R10" i="17" s="1"/>
  <c r="Q10" i="17" a="1"/>
  <c r="Q10" i="17" s="1"/>
  <c r="P10" i="17" a="1"/>
  <c r="P10" i="17" s="1"/>
  <c r="O10" i="17" a="1"/>
  <c r="O10" i="17" s="1"/>
  <c r="N10" i="17" a="1"/>
  <c r="N10" i="17" s="1"/>
  <c r="M10" i="17" a="1"/>
  <c r="M10" i="17" s="1"/>
  <c r="L10" i="17" a="1"/>
  <c r="L10" i="17" s="1"/>
  <c r="K10" i="17" a="1"/>
  <c r="K10" i="17" s="1"/>
  <c r="AA10" i="23" a="1"/>
  <c r="AA10" i="23" s="1"/>
  <c r="Z10" i="23" a="1"/>
  <c r="Z10" i="23" s="1"/>
  <c r="Y10" i="23" a="1"/>
  <c r="Y10" i="23" s="1"/>
  <c r="X10" i="23" a="1"/>
  <c r="X10" i="23" s="1"/>
  <c r="W10" i="23" a="1"/>
  <c r="W10" i="23" s="1"/>
  <c r="V10" i="23" a="1"/>
  <c r="V10" i="23" s="1"/>
  <c r="U10" i="23" a="1"/>
  <c r="U10" i="23" s="1"/>
  <c r="T10" i="23" a="1"/>
  <c r="T10" i="23" s="1"/>
  <c r="S10" i="23" a="1"/>
  <c r="S10" i="23" s="1"/>
  <c r="R10" i="23" a="1"/>
  <c r="R10" i="23" s="1"/>
  <c r="Q10" i="23" a="1"/>
  <c r="Q10" i="23" s="1"/>
  <c r="P10" i="23" a="1"/>
  <c r="P10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AA10" i="24" a="1"/>
  <c r="AA10" i="24" s="1"/>
  <c r="Z10" i="24" a="1"/>
  <c r="Z10" i="24" s="1"/>
  <c r="Y10" i="24" a="1"/>
  <c r="Y10" i="24" s="1"/>
  <c r="X10" i="24" a="1"/>
  <c r="X10" i="24" s="1"/>
  <c r="W10" i="24" a="1"/>
  <c r="W10" i="24" s="1"/>
  <c r="V10" i="24" a="1"/>
  <c r="V10" i="24" s="1"/>
  <c r="U10" i="24" a="1"/>
  <c r="U10" i="24" s="1"/>
  <c r="T10" i="24" a="1"/>
  <c r="T10" i="24" s="1"/>
  <c r="S10" i="24" a="1"/>
  <c r="S10" i="24" s="1"/>
  <c r="R10" i="24" a="1"/>
  <c r="R10" i="24" s="1"/>
  <c r="Q10" i="24" a="1"/>
  <c r="Q10" i="24" s="1"/>
  <c r="P10" i="24" a="1"/>
  <c r="P10" i="24" s="1"/>
  <c r="O10" i="24" a="1"/>
  <c r="O10" i="24" s="1"/>
  <c r="N10" i="24" a="1"/>
  <c r="N10" i="24" s="1"/>
  <c r="M10" i="24" a="1"/>
  <c r="M10" i="24" s="1"/>
  <c r="L10" i="24" a="1"/>
  <c r="L10" i="24" s="1"/>
  <c r="K10" i="24" a="1"/>
  <c r="K10" i="24" s="1"/>
  <c r="B16" i="27"/>
  <c r="AA10" i="27" a="1"/>
  <c r="AA10" i="27" s="1"/>
  <c r="Z10" i="27" a="1"/>
  <c r="Z10" i="27" s="1"/>
  <c r="Y10" i="27" a="1"/>
  <c r="Y10" i="27" s="1"/>
  <c r="X10" i="27" a="1"/>
  <c r="X10" i="27" s="1"/>
  <c r="W10" i="27" a="1"/>
  <c r="W10" i="27" s="1"/>
  <c r="V10" i="27" a="1"/>
  <c r="V10" i="27" s="1"/>
  <c r="U10" i="27" a="1"/>
  <c r="U10" i="27" s="1"/>
  <c r="T10" i="27" a="1"/>
  <c r="T10" i="27" s="1"/>
  <c r="S10" i="27" a="1"/>
  <c r="S10" i="27" s="1"/>
  <c r="R10" i="27" a="1"/>
  <c r="R10" i="27" s="1"/>
  <c r="Q10" i="27" a="1"/>
  <c r="Q10" i="27" s="1"/>
  <c r="P10" i="27" a="1"/>
  <c r="P10" i="27" s="1"/>
  <c r="O10" i="27" a="1"/>
  <c r="O10" i="27" s="1"/>
  <c r="N10" i="27" a="1"/>
  <c r="N10" i="27" s="1"/>
  <c r="M10" i="27" a="1"/>
  <c r="M10" i="27" s="1"/>
  <c r="L10" i="27" a="1"/>
  <c r="L10" i="27" s="1"/>
  <c r="K10" i="27" a="1"/>
  <c r="K10" i="27" s="1"/>
  <c r="D8" i="25"/>
  <c r="Z11" i="25" a="1"/>
  <c r="Z11" i="25" s="1"/>
  <c r="Y11" i="25" a="1"/>
  <c r="Y11" i="25" s="1"/>
  <c r="V11" i="25" a="1"/>
  <c r="V11" i="25" s="1"/>
  <c r="U11" i="25" a="1"/>
  <c r="U11" i="25" s="1"/>
  <c r="R11" i="25" a="1"/>
  <c r="R11" i="25" s="1"/>
  <c r="Q11" i="25" a="1"/>
  <c r="Q11" i="25" s="1"/>
  <c r="N11" i="25" a="1"/>
  <c r="N11" i="25" s="1"/>
  <c r="M11" i="25" a="1"/>
  <c r="M11" i="25" s="1"/>
  <c r="AA10" i="25" a="1"/>
  <c r="AA10" i="25" s="1"/>
  <c r="Z10" i="25" a="1"/>
  <c r="Z10" i="25" s="1"/>
  <c r="Y10" i="25" a="1"/>
  <c r="Y10" i="25" s="1"/>
  <c r="X10" i="25" a="1"/>
  <c r="X10" i="25" s="1"/>
  <c r="W10" i="25" a="1"/>
  <c r="W10" i="25" s="1"/>
  <c r="V10" i="25" a="1"/>
  <c r="V10" i="25" s="1"/>
  <c r="U10" i="25" a="1"/>
  <c r="U10" i="25" s="1"/>
  <c r="T10" i="25" a="1"/>
  <c r="T10" i="25" s="1"/>
  <c r="S10" i="25" a="1"/>
  <c r="S10" i="25" s="1"/>
  <c r="R10" i="25" a="1"/>
  <c r="R10" i="25" s="1"/>
  <c r="Q10" i="25" a="1"/>
  <c r="Q10" i="25" s="1"/>
  <c r="P10" i="25" a="1"/>
  <c r="P10" i="25" s="1"/>
  <c r="O10" i="25" a="1"/>
  <c r="O10" i="25" s="1"/>
  <c r="N10" i="25" a="1"/>
  <c r="N10" i="25" s="1"/>
  <c r="M10" i="25" a="1"/>
  <c r="M10" i="25" s="1"/>
  <c r="L10" i="25" a="1"/>
  <c r="L10" i="25" s="1"/>
  <c r="K10" i="25" a="1"/>
  <c r="K10" i="25" s="1"/>
  <c r="AA11" i="26" a="1"/>
  <c r="AA11" i="26" s="1"/>
  <c r="Z11" i="26" a="1"/>
  <c r="Z11" i="26" s="1"/>
  <c r="Y11" i="26" a="1"/>
  <c r="Y11" i="26" s="1"/>
  <c r="X11" i="26" a="1"/>
  <c r="X11" i="26" s="1"/>
  <c r="W11" i="26" a="1"/>
  <c r="W11" i="26" s="1"/>
  <c r="V11" i="26" a="1"/>
  <c r="V11" i="26" s="1"/>
  <c r="U11" i="26" a="1"/>
  <c r="U11" i="26" s="1"/>
  <c r="T11" i="26" a="1"/>
  <c r="T11" i="26" s="1"/>
  <c r="S11" i="26" a="1"/>
  <c r="S11" i="26" s="1"/>
  <c r="R11" i="26" a="1"/>
  <c r="R11" i="26" s="1"/>
  <c r="Q11" i="26" a="1"/>
  <c r="Q11" i="26" s="1"/>
  <c r="P11" i="26" a="1"/>
  <c r="P11" i="26" s="1"/>
  <c r="O11" i="26" a="1"/>
  <c r="O11" i="26" s="1"/>
  <c r="N11" i="26" a="1"/>
  <c r="N11" i="26" s="1"/>
  <c r="M11" i="26" a="1"/>
  <c r="M11" i="26" s="1"/>
  <c r="L11" i="26" a="1"/>
  <c r="L11" i="26" s="1"/>
  <c r="K11" i="26" a="1"/>
  <c r="K11" i="26" s="1"/>
  <c r="AA10" i="26" a="1"/>
  <c r="AA10" i="26" s="1"/>
  <c r="Z10" i="26" a="1"/>
  <c r="Z10" i="26" s="1"/>
  <c r="Y10" i="26" a="1"/>
  <c r="Y10" i="26" s="1"/>
  <c r="X10" i="26" a="1"/>
  <c r="X10" i="26" s="1"/>
  <c r="W10" i="26" a="1"/>
  <c r="W10" i="26" s="1"/>
  <c r="V10" i="26" a="1"/>
  <c r="V10" i="26" s="1"/>
  <c r="U10" i="26" a="1"/>
  <c r="U10" i="26" s="1"/>
  <c r="T10" i="26" a="1"/>
  <c r="T10" i="26" s="1"/>
  <c r="S10" i="26" a="1"/>
  <c r="S10" i="26" s="1"/>
  <c r="R10" i="26" a="1"/>
  <c r="R10" i="26" s="1"/>
  <c r="Q10" i="26" a="1"/>
  <c r="Q10" i="26" s="1"/>
  <c r="P10" i="26" a="1"/>
  <c r="P10" i="26" s="1"/>
  <c r="O10" i="26" a="1"/>
  <c r="O10" i="26" s="1"/>
  <c r="N10" i="26" a="1"/>
  <c r="N10" i="26" s="1"/>
  <c r="M10" i="26" a="1"/>
  <c r="M10" i="26" s="1"/>
  <c r="L10" i="26" a="1"/>
  <c r="L10" i="26" s="1"/>
  <c r="K10" i="26" a="1"/>
  <c r="K10" i="26" s="1"/>
  <c r="AA11" i="28" a="1"/>
  <c r="AA11" i="28" s="1"/>
  <c r="Z11" i="28" a="1"/>
  <c r="Z11" i="28" s="1"/>
  <c r="Y11" i="28" a="1"/>
  <c r="Y11" i="28" s="1"/>
  <c r="X11" i="28" a="1"/>
  <c r="X11" i="28" s="1"/>
  <c r="W11" i="28" a="1"/>
  <c r="W11" i="28" s="1"/>
  <c r="V11" i="28" a="1"/>
  <c r="V11" i="28" s="1"/>
  <c r="U11" i="28" a="1"/>
  <c r="U11" i="28" s="1"/>
  <c r="T11" i="28" a="1"/>
  <c r="T11" i="28" s="1"/>
  <c r="S11" i="28" a="1"/>
  <c r="S11" i="28" s="1"/>
  <c r="R11" i="28" a="1"/>
  <c r="R11" i="28" s="1"/>
  <c r="Q11" i="28" a="1"/>
  <c r="Q11" i="28" s="1"/>
  <c r="P11" i="28" a="1"/>
  <c r="P11" i="28" s="1"/>
  <c r="O11" i="28" a="1"/>
  <c r="O11" i="28" s="1"/>
  <c r="N11" i="28" a="1"/>
  <c r="N11" i="28" s="1"/>
  <c r="M11" i="28" a="1"/>
  <c r="M11" i="28" s="1"/>
  <c r="L11" i="28" a="1"/>
  <c r="L11" i="28" s="1"/>
  <c r="K11" i="28" a="1"/>
  <c r="K11" i="28" s="1"/>
  <c r="AA10" i="28" a="1"/>
  <c r="AA10" i="28" s="1"/>
  <c r="Z10" i="28" a="1"/>
  <c r="Z10" i="28" s="1"/>
  <c r="Y10" i="28" a="1"/>
  <c r="Y10" i="28" s="1"/>
  <c r="X10" i="28" a="1"/>
  <c r="X10" i="28" s="1"/>
  <c r="W10" i="28" a="1"/>
  <c r="W10" i="28" s="1"/>
  <c r="V10" i="28" a="1"/>
  <c r="V10" i="28" s="1"/>
  <c r="U10" i="28" a="1"/>
  <c r="U10" i="28" s="1"/>
  <c r="T10" i="28" a="1"/>
  <c r="T10" i="28" s="1"/>
  <c r="S10" i="28" a="1"/>
  <c r="S10" i="28" s="1"/>
  <c r="R10" i="28" a="1"/>
  <c r="R10" i="28" s="1"/>
  <c r="Q10" i="28" a="1"/>
  <c r="Q10" i="28" s="1"/>
  <c r="P10" i="28" a="1"/>
  <c r="P10" i="28" s="1"/>
  <c r="O10" i="28" a="1"/>
  <c r="O10" i="28" s="1"/>
  <c r="N10" i="28" a="1"/>
  <c r="N10" i="28" s="1"/>
  <c r="M10" i="28" a="1"/>
  <c r="M10" i="28" s="1"/>
  <c r="L10" i="28" a="1"/>
  <c r="L10" i="28" s="1"/>
  <c r="K10" i="28" a="1"/>
  <c r="K10" i="28" s="1"/>
  <c r="AA9" i="28" a="1"/>
  <c r="AA9" i="28" s="1"/>
  <c r="Z9" i="28" a="1"/>
  <c r="Z9" i="28" s="1"/>
  <c r="T9" i="28" a="1"/>
  <c r="T9" i="28" s="1"/>
  <c r="S9" i="28" a="1"/>
  <c r="S9" i="28" s="1"/>
  <c r="R9" i="28" a="1"/>
  <c r="R9" i="28" s="1"/>
  <c r="Q9" i="28" a="1"/>
  <c r="Q9" i="28" s="1"/>
  <c r="P9" i="28" a="1"/>
  <c r="P9" i="28" s="1"/>
  <c r="O9" i="28" a="1"/>
  <c r="O9" i="28" s="1"/>
  <c r="N9" i="28" a="1"/>
  <c r="N9" i="28" s="1"/>
  <c r="M9" i="28" a="1"/>
  <c r="M9" i="28" s="1"/>
  <c r="L9" i="28" a="1"/>
  <c r="L9" i="28" s="1"/>
  <c r="D8" i="28"/>
  <c r="AA9" i="26" a="1"/>
  <c r="AA9" i="26" s="1"/>
  <c r="Z9" i="26" a="1"/>
  <c r="Z9" i="26" s="1"/>
  <c r="T9" i="26" a="1"/>
  <c r="T9" i="26" s="1"/>
  <c r="S9" i="26" a="1"/>
  <c r="S9" i="26" s="1"/>
  <c r="R9" i="26" a="1"/>
  <c r="R9" i="26" s="1"/>
  <c r="Q9" i="26" a="1"/>
  <c r="Q9" i="26" s="1"/>
  <c r="P9" i="26" a="1"/>
  <c r="P9" i="26" s="1"/>
  <c r="O9" i="26" a="1"/>
  <c r="O9" i="26" s="1"/>
  <c r="N9" i="26" a="1"/>
  <c r="N9" i="26" s="1"/>
  <c r="M9" i="26" a="1"/>
  <c r="M9" i="26" s="1"/>
  <c r="L9" i="26" a="1"/>
  <c r="L9" i="26" s="1"/>
  <c r="K9" i="26" a="1"/>
  <c r="K9" i="26" s="1"/>
  <c r="A9" i="26"/>
  <c r="AA9" i="25" a="1"/>
  <c r="AA9" i="25" s="1"/>
  <c r="Z9" i="25" a="1"/>
  <c r="Z9" i="25" s="1"/>
  <c r="T9" i="25" a="1"/>
  <c r="T9" i="25" s="1"/>
  <c r="S9" i="25" a="1"/>
  <c r="S9" i="25" s="1"/>
  <c r="R9" i="25" a="1"/>
  <c r="R9" i="25" s="1"/>
  <c r="Q9" i="25" a="1"/>
  <c r="Q9" i="25" s="1"/>
  <c r="P9" i="25" a="1"/>
  <c r="P9" i="25" s="1"/>
  <c r="O9" i="25" a="1"/>
  <c r="O9" i="25" s="1"/>
  <c r="N9" i="25" a="1"/>
  <c r="N9" i="25" s="1"/>
  <c r="M9" i="25" a="1"/>
  <c r="M9" i="25" s="1"/>
  <c r="L9" i="25" a="1"/>
  <c r="L9" i="25" s="1"/>
  <c r="K9" i="25" a="1"/>
  <c r="K9" i="25" s="1"/>
  <c r="AA9" i="27" a="1"/>
  <c r="AA9" i="27" s="1"/>
  <c r="Z9" i="27" a="1"/>
  <c r="Z9" i="27" s="1"/>
  <c r="T9" i="27" a="1"/>
  <c r="T9" i="27" s="1"/>
  <c r="S9" i="27" a="1"/>
  <c r="S9" i="27" s="1"/>
  <c r="R9" i="27" a="1"/>
  <c r="R9" i="27" s="1"/>
  <c r="Q9" i="27" a="1"/>
  <c r="Q9" i="27" s="1"/>
  <c r="P9" i="27" a="1"/>
  <c r="P9" i="27" s="1"/>
  <c r="O9" i="27" a="1"/>
  <c r="O9" i="27" s="1"/>
  <c r="N9" i="27" a="1"/>
  <c r="N9" i="27" s="1"/>
  <c r="M9" i="27" a="1"/>
  <c r="M9" i="27" s="1"/>
  <c r="L9" i="27" a="1"/>
  <c r="L9" i="27" s="1"/>
  <c r="K9" i="27" a="1"/>
  <c r="K9" i="27" s="1"/>
  <c r="A9" i="27"/>
  <c r="C8" i="27"/>
  <c r="AA9" i="24" a="1"/>
  <c r="AA9" i="24" s="1"/>
  <c r="Z9" i="24" a="1"/>
  <c r="Z9" i="24" s="1"/>
  <c r="T9" i="24" a="1"/>
  <c r="T9" i="24" s="1"/>
  <c r="S9" i="24" a="1"/>
  <c r="S9" i="24" s="1"/>
  <c r="R9" i="24" a="1"/>
  <c r="R9" i="24" s="1"/>
  <c r="Q9" i="24" a="1"/>
  <c r="Q9" i="24" s="1"/>
  <c r="P9" i="24" a="1"/>
  <c r="P9" i="24" s="1"/>
  <c r="O9" i="24" a="1"/>
  <c r="O9" i="24" s="1"/>
  <c r="N9" i="24" a="1"/>
  <c r="N9" i="24" s="1"/>
  <c r="M9" i="24" a="1"/>
  <c r="M9" i="24" s="1"/>
  <c r="L9" i="24" a="1"/>
  <c r="L9" i="24" s="1"/>
  <c r="K9" i="24" a="1"/>
  <c r="K9" i="24" s="1"/>
  <c r="E8" i="24"/>
  <c r="AA9" i="23" a="1"/>
  <c r="AA9" i="23" s="1"/>
  <c r="T9" i="23" a="1"/>
  <c r="T9" i="23" s="1"/>
  <c r="S9" i="23" a="1"/>
  <c r="S9" i="23" s="1"/>
  <c r="R9" i="23" a="1"/>
  <c r="R9" i="23" s="1"/>
  <c r="Q9" i="23" a="1"/>
  <c r="Q9" i="23" s="1"/>
  <c r="P9" i="23" a="1"/>
  <c r="P9" i="23" s="1"/>
  <c r="O9" i="23" a="1"/>
  <c r="O9" i="23" s="1"/>
  <c r="N9" i="23" a="1"/>
  <c r="N9" i="23" s="1"/>
  <c r="M9" i="23" a="1"/>
  <c r="M9" i="23" s="1"/>
  <c r="L9" i="23" a="1"/>
  <c r="L9" i="23" s="1"/>
  <c r="K9" i="23" a="1"/>
  <c r="K9" i="23" s="1"/>
  <c r="D8" i="23"/>
  <c r="AA9" i="17" a="1"/>
  <c r="AA9" i="17" s="1"/>
  <c r="Z9" i="17" a="1"/>
  <c r="Z9" i="17" s="1"/>
  <c r="T9" i="17" a="1"/>
  <c r="T9" i="17" s="1"/>
  <c r="S9" i="17" a="1"/>
  <c r="S9" i="17" s="1"/>
  <c r="R9" i="17" a="1"/>
  <c r="R9" i="17" s="1"/>
  <c r="Q9" i="17" a="1"/>
  <c r="Q9" i="17" s="1"/>
  <c r="P9" i="17" a="1"/>
  <c r="P9" i="17" s="1"/>
  <c r="O9" i="17" a="1"/>
  <c r="O9" i="17" s="1"/>
  <c r="N9" i="17" a="1"/>
  <c r="N9" i="17" s="1"/>
  <c r="M9" i="17" a="1"/>
  <c r="M9" i="17" s="1"/>
  <c r="L9" i="17" a="1"/>
  <c r="L9" i="17" s="1"/>
  <c r="K9" i="17" a="1"/>
  <c r="K9" i="17" s="1"/>
  <c r="T9" i="6" a="1"/>
  <c r="T9" i="6" s="1"/>
  <c r="S9" i="6" a="1"/>
  <c r="S9" i="6" s="1"/>
  <c r="R9" i="6" a="1"/>
  <c r="R9" i="6" s="1"/>
  <c r="Q9" i="6" a="1"/>
  <c r="Q9" i="6" s="1"/>
  <c r="P9" i="6" a="1"/>
  <c r="P9" i="6" s="1"/>
  <c r="O9" i="6" a="1"/>
  <c r="O9" i="6" s="1"/>
  <c r="N9" i="6" a="1"/>
  <c r="N9" i="6" s="1"/>
  <c r="M9" i="6" a="1"/>
  <c r="M9" i="6" s="1"/>
  <c r="L9" i="6" a="1"/>
  <c r="L9" i="6" s="1"/>
  <c r="K9" i="6" a="1"/>
  <c r="K9" i="6" s="1"/>
  <c r="B16" i="29"/>
  <c r="AA10" i="29" a="1"/>
  <c r="AA10" i="29" s="1"/>
  <c r="Z10" i="29" a="1"/>
  <c r="Z10" i="29" s="1"/>
  <c r="Y10" i="29" a="1"/>
  <c r="Y10" i="29" s="1"/>
  <c r="X10" i="29" a="1"/>
  <c r="X10" i="29" s="1"/>
  <c r="W10" i="29" a="1"/>
  <c r="W10" i="29" s="1"/>
  <c r="V10" i="29" a="1"/>
  <c r="V10" i="29" s="1"/>
  <c r="U10" i="29" a="1"/>
  <c r="U10" i="29" s="1"/>
  <c r="T10" i="29" a="1"/>
  <c r="T10" i="29" s="1"/>
  <c r="S10" i="29" a="1"/>
  <c r="S10" i="29" s="1"/>
  <c r="R10" i="29" a="1"/>
  <c r="R10" i="29" s="1"/>
  <c r="Q10" i="29" a="1"/>
  <c r="Q10" i="29" s="1"/>
  <c r="P10" i="29" a="1"/>
  <c r="P10" i="29" s="1"/>
  <c r="O10" i="29" a="1"/>
  <c r="O10" i="29" s="1"/>
  <c r="N10" i="29" a="1"/>
  <c r="N10" i="29" s="1"/>
  <c r="M10" i="29" a="1"/>
  <c r="M10" i="29" s="1"/>
  <c r="L10" i="29" a="1"/>
  <c r="L10" i="29" s="1"/>
  <c r="K10" i="29" a="1"/>
  <c r="K10" i="29" s="1"/>
  <c r="AA9" i="29" a="1"/>
  <c r="AA9" i="29" s="1"/>
  <c r="Z9" i="29" a="1"/>
  <c r="Z9" i="29" s="1"/>
  <c r="T9" i="29" a="1"/>
  <c r="T9" i="29" s="1"/>
  <c r="S9" i="29" a="1"/>
  <c r="S9" i="29" s="1"/>
  <c r="R9" i="29" a="1"/>
  <c r="R9" i="29" s="1"/>
  <c r="Q9" i="29" a="1"/>
  <c r="Q9" i="29" s="1"/>
  <c r="P9" i="29" a="1"/>
  <c r="P9" i="29" s="1"/>
  <c r="O9" i="29" a="1"/>
  <c r="O9" i="29" s="1"/>
  <c r="N9" i="29" a="1"/>
  <c r="N9" i="29" s="1"/>
  <c r="M9" i="29" a="1"/>
  <c r="M9" i="29" s="1"/>
  <c r="L9" i="29" a="1"/>
  <c r="L9" i="29" s="1"/>
  <c r="K9" i="29" a="1"/>
  <c r="K9" i="29" s="1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B8" i="29"/>
  <c r="S11" i="6" a="1"/>
  <c r="S11" i="6" s="1"/>
  <c r="V11" i="6" a="1"/>
  <c r="V11" i="6" s="1"/>
  <c r="Z11" i="27" a="1"/>
  <c r="Z11" i="27" s="1"/>
  <c r="V11" i="27" a="1"/>
  <c r="V11" i="27" s="1"/>
  <c r="R11" i="27" a="1"/>
  <c r="R11" i="27" s="1"/>
  <c r="N11" i="27" a="1"/>
  <c r="N11" i="27" s="1"/>
  <c r="Y11" i="27" a="1"/>
  <c r="Y11" i="27" s="1"/>
  <c r="U11" i="27" a="1"/>
  <c r="U11" i="27" s="1"/>
  <c r="Q11" i="27" a="1"/>
  <c r="Q11" i="27" s="1"/>
  <c r="M11" i="27" a="1"/>
  <c r="M11" i="27" s="1"/>
  <c r="X11" i="27" a="1"/>
  <c r="X11" i="27" s="1"/>
  <c r="T11" i="27" a="1"/>
  <c r="T11" i="27" s="1"/>
  <c r="P11" i="27" a="1"/>
  <c r="P11" i="27" s="1"/>
  <c r="L11" i="27" a="1"/>
  <c r="L11" i="27" s="1"/>
  <c r="S11" i="27" a="1"/>
  <c r="S11" i="27" s="1"/>
  <c r="O11" i="27" a="1"/>
  <c r="O11" i="27" s="1"/>
  <c r="AA11" i="27" a="1"/>
  <c r="AA11" i="27" s="1"/>
  <c r="W11" i="27" a="1"/>
  <c r="W11" i="27" s="1"/>
  <c r="K11" i="27" a="1"/>
  <c r="K11" i="27" s="1"/>
  <c r="U11" i="24" a="1"/>
  <c r="U11" i="24" s="1"/>
  <c r="Q11" i="24" a="1"/>
  <c r="Q11" i="24" s="1"/>
  <c r="P11" i="24" a="1"/>
  <c r="P11" i="24" s="1"/>
  <c r="K11" i="25" a="1"/>
  <c r="K11" i="25" s="1"/>
  <c r="O11" i="25" a="1"/>
  <c r="O11" i="25" s="1"/>
  <c r="S11" i="25" a="1"/>
  <c r="S11" i="25" s="1"/>
  <c r="W11" i="25" a="1"/>
  <c r="W11" i="25" s="1"/>
  <c r="AA11" i="25" a="1"/>
  <c r="AA11" i="25" s="1"/>
  <c r="T11" i="6" a="1"/>
  <c r="T11" i="6" s="1"/>
  <c r="L11" i="25" a="1"/>
  <c r="L11" i="25" s="1"/>
  <c r="P11" i="25" a="1"/>
  <c r="P11" i="25" s="1"/>
  <c r="T11" i="25" a="1"/>
  <c r="T11" i="25" s="1"/>
  <c r="X11" i="25" a="1"/>
  <c r="X11" i="25" s="1"/>
  <c r="O11" i="23" l="1" a="1"/>
  <c r="O11" i="23" s="1"/>
  <c r="U11" i="23" a="1"/>
  <c r="U11" i="23" s="1"/>
  <c r="Z11" i="23" a="1"/>
  <c r="Z11" i="23" s="1"/>
  <c r="O11" i="24" a="1"/>
  <c r="O11" i="24" s="1"/>
  <c r="V11" i="24" a="1"/>
  <c r="V11" i="24" s="1"/>
  <c r="T11" i="24" a="1"/>
  <c r="T11" i="24" s="1"/>
  <c r="S11" i="24" a="1"/>
  <c r="S11" i="24" s="1"/>
  <c r="K11" i="23" a="1"/>
  <c r="K11" i="23" s="1"/>
  <c r="Q11" i="23" a="1"/>
  <c r="Q11" i="23" s="1"/>
  <c r="V11" i="23" a="1"/>
  <c r="V11" i="23" s="1"/>
  <c r="AA11" i="23" a="1"/>
  <c r="AA11" i="23" s="1"/>
  <c r="M11" i="23" a="1"/>
  <c r="M11" i="23" s="1"/>
  <c r="R11" i="23" a="1"/>
  <c r="R11" i="23" s="1"/>
  <c r="W11" i="23" a="1"/>
  <c r="W11" i="23" s="1"/>
  <c r="N11" i="23" a="1"/>
  <c r="N11" i="23" s="1"/>
  <c r="S11" i="23" a="1"/>
  <c r="S11" i="23" s="1"/>
  <c r="Y11" i="23" a="1"/>
  <c r="Y11" i="23" s="1"/>
  <c r="AA11" i="6" a="1"/>
  <c r="AA11" i="6" s="1"/>
  <c r="M11" i="6" a="1"/>
  <c r="M11" i="6" s="1"/>
  <c r="P11" i="6" a="1"/>
  <c r="P11" i="6" s="1"/>
  <c r="O11" i="6" a="1"/>
  <c r="O11" i="6" s="1"/>
  <c r="L11" i="6" a="1"/>
  <c r="L11" i="6" s="1"/>
  <c r="N11" i="6" a="1"/>
  <c r="N11" i="6" s="1"/>
  <c r="Z11" i="6" a="1"/>
  <c r="Z11" i="6" s="1"/>
  <c r="Y11" i="6" a="1"/>
  <c r="Y11" i="6" s="1"/>
  <c r="K11" i="6" a="1"/>
  <c r="K11" i="6" s="1"/>
  <c r="U11" i="6" a="1"/>
  <c r="U11" i="6" s="1"/>
  <c r="X11" i="6" a="1"/>
  <c r="X11" i="6" s="1"/>
  <c r="K11" i="29" a="1"/>
  <c r="K11" i="29" s="1"/>
  <c r="Y11" i="29" a="1"/>
  <c r="Y11" i="29" s="1"/>
  <c r="AA11" i="29" a="1"/>
  <c r="AA11" i="29" s="1"/>
  <c r="T11" i="29" a="1"/>
  <c r="T11" i="29" s="1"/>
  <c r="R11" i="29" a="1"/>
  <c r="R11" i="29" s="1"/>
  <c r="Z11" i="29" a="1"/>
  <c r="Z11" i="29" s="1"/>
  <c r="U11" i="29" a="1"/>
  <c r="U11" i="29" s="1"/>
  <c r="S11" i="29" a="1"/>
  <c r="S11" i="29" s="1"/>
  <c r="L11" i="23" a="1"/>
  <c r="L11" i="23" s="1"/>
  <c r="P11" i="23" a="1"/>
  <c r="P11" i="23" s="1"/>
  <c r="T11" i="23" a="1"/>
  <c r="T11" i="23" s="1"/>
  <c r="X11" i="23" a="1"/>
  <c r="X11" i="23" s="1"/>
  <c r="Q11" i="17" a="1"/>
  <c r="Q11" i="17" s="1"/>
  <c r="L11" i="17" a="1"/>
  <c r="L11" i="17" s="1"/>
  <c r="P11" i="17" a="1"/>
  <c r="P11" i="17" s="1"/>
  <c r="T11" i="17" a="1"/>
  <c r="T11" i="17" s="1"/>
  <c r="X11" i="17" a="1"/>
  <c r="X11" i="17" s="1"/>
  <c r="Q11" i="29" a="1"/>
  <c r="Q11" i="29" s="1"/>
  <c r="L11" i="29" a="1"/>
  <c r="L11" i="29" s="1"/>
  <c r="X11" i="29" a="1"/>
  <c r="X11" i="29" s="1"/>
  <c r="N11" i="29" a="1"/>
  <c r="N11" i="29" s="1"/>
  <c r="V11" i="29" a="1"/>
  <c r="V11" i="29" s="1"/>
  <c r="R11" i="24" a="1"/>
  <c r="R11" i="24" s="1"/>
  <c r="N11" i="17" a="1"/>
  <c r="N11" i="17" s="1"/>
  <c r="R11" i="17" a="1"/>
  <c r="R11" i="17" s="1"/>
  <c r="V11" i="17" a="1"/>
  <c r="V11" i="17" s="1"/>
  <c r="Z11" i="17" a="1"/>
  <c r="Z11" i="17" s="1"/>
  <c r="M11" i="29" a="1"/>
  <c r="M11" i="29" s="1"/>
  <c r="P11" i="29" a="1"/>
  <c r="P11" i="29" s="1"/>
  <c r="O11" i="29" a="1"/>
  <c r="O11" i="29" s="1"/>
  <c r="W11" i="29" a="1"/>
  <c r="W11" i="29" s="1"/>
  <c r="K11" i="17" a="1"/>
  <c r="K11" i="17" s="1"/>
  <c r="O11" i="17" a="1"/>
  <c r="O11" i="17" s="1"/>
  <c r="S11" i="17" a="1"/>
  <c r="S11" i="17" s="1"/>
  <c r="W11" i="17" a="1"/>
  <c r="W11" i="17" s="1"/>
  <c r="AA11" i="17" a="1"/>
  <c r="AA11" i="17" s="1"/>
  <c r="W11" i="6" a="1"/>
  <c r="W11" i="6" s="1"/>
  <c r="R11" i="6" a="1"/>
  <c r="R11" i="6" s="1"/>
  <c r="W11" i="24" a="1"/>
  <c r="W11" i="24" s="1"/>
  <c r="X11" i="24" a="1"/>
  <c r="X11" i="24" s="1"/>
  <c r="Y11" i="24" a="1"/>
  <c r="Y11" i="24" s="1"/>
  <c r="K11" i="24" a="1"/>
  <c r="K11" i="24" s="1"/>
  <c r="AA11" i="24" a="1"/>
  <c r="AA11" i="24" s="1"/>
  <c r="L11" i="24" a="1"/>
  <c r="L11" i="24" s="1"/>
  <c r="M11" i="24" a="1"/>
  <c r="M11" i="24" s="1"/>
  <c r="Z11" i="24" a="1"/>
  <c r="Z11" i="24" s="1"/>
</calcChain>
</file>

<file path=xl/sharedStrings.xml><?xml version="1.0" encoding="utf-8"?>
<sst xmlns="http://schemas.openxmlformats.org/spreadsheetml/2006/main" count="1301" uniqueCount="167">
  <si>
    <t>Goal</t>
  </si>
  <si>
    <t>Metric</t>
  </si>
  <si>
    <t>Above</t>
  </si>
  <si>
    <t>Below</t>
  </si>
  <si>
    <t>Measured Rate 
[% Measured]</t>
  </si>
  <si>
    <t>Brand Safety 
[% Failed]</t>
  </si>
  <si>
    <t>Weight</t>
  </si>
  <si>
    <t>% Weight</t>
  </si>
  <si>
    <t>Power Rank</t>
  </si>
  <si>
    <t>Campaign</t>
  </si>
  <si>
    <t>N/A</t>
  </si>
  <si>
    <t>Measured Impressions</t>
  </si>
  <si>
    <t>Highlighting Thresholds</t>
  </si>
  <si>
    <t>Total Impressions</t>
  </si>
  <si>
    <t>Performance Roll-up</t>
  </si>
  <si>
    <t>Benchmarks</t>
  </si>
  <si>
    <t>Client Goals</t>
  </si>
  <si>
    <t>Campaign 2</t>
  </si>
  <si>
    <t>Campaign 3</t>
  </si>
  <si>
    <t>Blocking Status</t>
  </si>
  <si>
    <t>Team</t>
  </si>
  <si>
    <t>HIDE COLUMN</t>
  </si>
  <si>
    <t>Placement</t>
  </si>
  <si>
    <t>Brand Safety 
[% Passed]</t>
  </si>
  <si>
    <t>Brand Safety 
[% Failed by Content]</t>
  </si>
  <si>
    <t>Brand Safety 
[% Failed by Geo]</t>
  </si>
  <si>
    <t>Brand Safety 
[% Failed by Keyword]</t>
  </si>
  <si>
    <t>Brand Safety 
[% Failed by Blacklist]</t>
  </si>
  <si>
    <t>Fraud 
[% Fraud]</t>
  </si>
  <si>
    <t>Region</t>
  </si>
  <si>
    <t>USA</t>
  </si>
  <si>
    <t>Brand</t>
  </si>
  <si>
    <t>Brand 1</t>
  </si>
  <si>
    <t>Brand 2</t>
  </si>
  <si>
    <t>Brand 3</t>
  </si>
  <si>
    <t>Team 1</t>
  </si>
  <si>
    <t>A</t>
  </si>
  <si>
    <t>Creative Size</t>
  </si>
  <si>
    <t>Device Type</t>
  </si>
  <si>
    <t>B</t>
  </si>
  <si>
    <t>Team 2</t>
  </si>
  <si>
    <t>Team 3</t>
  </si>
  <si>
    <t>Spain</t>
  </si>
  <si>
    <t>England</t>
  </si>
  <si>
    <t>C</t>
  </si>
  <si>
    <t>D</t>
  </si>
  <si>
    <t>E</t>
  </si>
  <si>
    <t>F</t>
  </si>
  <si>
    <t>FY16_PS4_Always On Summer Connoisseurs</t>
  </si>
  <si>
    <t>Maps to Publisher &amp; Placement Tab</t>
  </si>
  <si>
    <t>Amazon com_8 10-8 31 Homepage ATF - Rectangle _300 x 250_SS_Display_Desktop Only_STANDARD_P4VM7R</t>
  </si>
  <si>
    <t>Amazon Ad Platform_8 10-8 31 Rectangle_300 x 250_SS_Display_Desktop Only_STANDARD_P4VM81</t>
  </si>
  <si>
    <t>Amazon Ad Platform_8 10-8 31 Leaderboard_728 x 90_SS_Display_Desktop Only_STANDARD_P4VM82</t>
  </si>
  <si>
    <t>Pandora AMNET PMP_Web 300x250 8 10-8 31_300 x 250_SS_Display_Desktop Only_STANDARD_P4WX3P</t>
  </si>
  <si>
    <t>Amnet Group_BTPS3 Owners  8 10-8 31_1 x 1_TP_Video Player LongShort Form_Desktop Only_VIDEO_P4WF2S</t>
  </si>
  <si>
    <t>CBSi Games AMNET PMP_RON Billboard  8 10-8 31_970 x 250 Expandable_SS_Display_Desktop Only_RM_P4WX2D</t>
  </si>
  <si>
    <t>Bleacher Report_8 10-8 31 Premium Sports ROS - DT Leaderboard_728 x 90_RM_Display_Desktop Only_STANDARD_P4VQS2</t>
  </si>
  <si>
    <t>Bleacher Report_8 10-8 31 Premium Sports ROS - DT Med Rec_300 x 250_RM_Display_Desktop Only_STANDARD_P4VQS5</t>
  </si>
  <si>
    <t>Amnet Group_CTPS3 Sites  8 10-8 31_1 x 1_TP_Video Player LongShort Form_Desktop Only_VIDEO_P4WF2X</t>
  </si>
  <si>
    <t>Amnet Group _CT-PS3 Owners/ PS3 Sites_8 9-8 31 _728 x 90  _TP _Display Standard _Desktop Only _STANDARD _P51W8S</t>
  </si>
  <si>
    <t>CBSi Games AMNET PMP_PlayStation or XBOX Targeted Super Leader  8 10-8 30_970 x 66 Expandable_SS_Display_Desktop Only_RM_P4WX21</t>
  </si>
  <si>
    <t>CBSi Games AMNET PMP_PlayStation or XBOX Targeted MPU  8 10-831_300 x 250_SS_Display_Desktop Only_STANDARD_P4WX22</t>
  </si>
  <si>
    <t>GameSTOP AMNET PMP_Leaderboard targeted to PS3 PS4 8 10-8 31_728 x 90_SS_Display_Desktop Only_STANDARD_P4WX2L</t>
  </si>
  <si>
    <t>Twitch AMNET PMP_Desktop Video August 8 10-8 31_640 x 480_SS_Display_Desktop Only_VIDEO_P4WX3S</t>
  </si>
  <si>
    <t>Amnet Group _CT-PS3 Owners/ PS3 Sites_8 9-8 31 _300 x 250  _TP _Display Standard _Desktop Only _STANDARD _P51W8Q</t>
  </si>
  <si>
    <t>IGN COM_8 25 Point of Entry RB - Med Rec_300 x 250 _TP_Display _Desktop Only_TAKEOVER_P5HP1Y</t>
  </si>
  <si>
    <t>IGN COM_8 25 Point of Entry RB - Header_970 x 250 _TP_Display _Desktop Only_TAKEOVER_P5HP1X</t>
  </si>
  <si>
    <t>CBSi Games AMNET PMP_PlayStation or XBOX Targeted Billboard  8 10-8 31_970 x 250 Expandable_SS_Display_Desktop Only_RM_P4WX26</t>
  </si>
  <si>
    <t>CBSi Games AMNET PMP_RON Super Leader  8 10-8 31_970 x 66 Expandable_SS_Display_Desktop Only_RM_P4WX31</t>
  </si>
  <si>
    <t>CBSi Games AMNET PMP_RON MPU  8 10-8 31_300 x 250_SS_Display_Desktop Only_STANDARD_P4WX2Z</t>
  </si>
  <si>
    <t>CBSi Games AMNET PMP_PlayStation or XBOX Targeted Half Page MPU  8 10-8 31_300 x 600_SS_Display_Multiple Devices_STANDARD_P4WX1W</t>
  </si>
  <si>
    <t>CBSi Games AMNET PMP_RON Half Page MPU  8 10-8 31_300 x 600_SS_Display_Desktop Only_STANDARD_P4WX2N</t>
  </si>
  <si>
    <t>Amnet Group_CTPS3 Owners PS3 Sites 6 23-8 31_728 x 90_TP_Display_Desktop Only_STANDARD_P4W1QZ</t>
  </si>
  <si>
    <t>Twitch_8 10-8 31 Synced Units DT Only - Leader_970 x 66_TP_Display_Desktop Only_STANDARD_P4VNC2</t>
  </si>
  <si>
    <t>Twitch_8 10-8 31 Synced Units DT Only - Med Rec_300 x 250_TP_Display_Desktop Only_STANDARD_P4VNC1</t>
  </si>
  <si>
    <t>CBSi Games AMNET PMP_PlayStation or XBOX Targeted Mobile  8 10-8 31_300 x 250_SS_Mobile Mobile Web_Mobile Only_MOBILE_P4WX1Y</t>
  </si>
  <si>
    <t>Amazon Ad Platform_8 10-8 31 Skyscraper_160 x 600_SS_Display_Desktop Only_STANDARD_P4VM83</t>
  </si>
  <si>
    <t>KARGO_8 10-8 31 Animated Interstitial Mobile Web_300 x 250_TP_Mobile Mobile Web_Mobile Only_MOBILE_P4VSMT</t>
  </si>
  <si>
    <t>Amazon Ad Platform_8 10-8 31 Half Page_300 x 600_SS_Display_Desktop Only_STANDARD_P4VM7Z</t>
  </si>
  <si>
    <t>GameStop_8 10-8 31 PS3 HPTO - Skin_1 x 1_SS_Page Skin_Desktop Only_TAKEOVER_P4VNC0</t>
  </si>
  <si>
    <t>Amnet Group _CT-PS3 Owners/XBOX 360 Dual Owners_8 9-8 31 _728 x 90  _TP _Display Standard _Desktop Only _STANDARD _P51W8X</t>
  </si>
  <si>
    <t>Amnet Group _CT-PS3 Owners/XBOX 360 Dual Owners_8 9-8 31 _300 x 250  _TP _Display Standard _Desktop Only _STANDARD _P51W8V</t>
  </si>
  <si>
    <t>GameStop_8 10-8 31 PS3 HPTO - Med Rec_300 x 250_RM_Takeover_Desktop Only_TAKEOVER_P4VNBZ</t>
  </si>
  <si>
    <t>IGN com_8 10-8 31 PS3Xbox360 Targeted Rotating RB - Med Rec_300 x 250_TP_Display_Desktop Only_TAKEOVER_P4VN9Z</t>
  </si>
  <si>
    <t>IGN com_8 10-8 31 PS3 Targeted Rotating RB - Med Rec_300 x 250_TP_Display_Desktop Only_TAKEOVER_P4VN9X</t>
  </si>
  <si>
    <t>GameStop_8 10-8 31 PS3 HPTO - Blade_970 x 66 Pushdown_RM_Takeover_Desktop Only_TAKEOVER_P4VNBY</t>
  </si>
  <si>
    <t>IGN COM_8 30 Point of Entry RB - Med Rec_300 x 250 _TP_Display _Desktop Only_TAKEOVER_P5HP3Z</t>
  </si>
  <si>
    <t>IGN COM_8 30 Point of Entry RB - Header_970 x 250 _TP_Display _Desktop Only_TAKEOVER_P5HP3Y</t>
  </si>
  <si>
    <t>IGN com_8 10-8 31 PS3Xbox360 Targeted Rotating RB - Header_970 x 250 Pushdown_TP_Display_Desktop Only_TAKEOVER_P4VN9Y</t>
  </si>
  <si>
    <t>IGN com_8 10-8 31 PS3 Targeted Rotating RB - Header_970 x 250 Pushdown_TP_Display_Desktop Only_TAKEOVER_P4VN9W</t>
  </si>
  <si>
    <t>Amnet Group_CTPS3 Owners PS3 Sites 6 23-8 31_300 x 250_TP_Display_Desktop Only_STANDARD_P4W1QT</t>
  </si>
  <si>
    <t>Amnet Group _CT-PS3 Owners/ PS3 Sites_8 9-8 31 _160 x 600  _TP _Display Standard _Desktop Only _STANDARD _P51W8P</t>
  </si>
  <si>
    <t>GameSpotFAQs_8 18 Mobile Takeover - Med Rec_300 x 250_SS_Mobile Mobile Web_Mobile Only_TAKEOVER_P4VN7N</t>
  </si>
  <si>
    <t>CBSi Games AMNET PMP_Mobile MPU 8 10-8 30_300 x 250_SS_Mobile Mobile Web_Mobile Only_MOBILE_P4WX24</t>
  </si>
  <si>
    <t>Amnet Group _CT-PS3 Owners/ PS3 Sites_8 9-8 31 _300 x 600  _TP _Display Standard _Desktop Only _STANDARD _P51W8R</t>
  </si>
  <si>
    <t>CBSi Games_8 10-8 31 PS3 and X360 Targeted - Med Rec_300 x 250_TP_Display_Desktop Only_STANDARD_P4VN7H</t>
  </si>
  <si>
    <t>CBSi Games_8 10-8 31 PS3 and X360 Targeted - Super Leader_970 x 66 Pushdown_TP_Display_Desktop Only_RM_P4VN7G</t>
  </si>
  <si>
    <t>Amnet Group_CTPS3 OwnersXBOX 360 Dual Owners 6 23-8 31_728 x 90_TP_Display_Desktop Only_STANDARD_P4W1QV</t>
  </si>
  <si>
    <t>Amnet Group_CTPS3 OwnersXBOX 360 Dual Owners 6 23-8 31_300 x 250_TP_Display_Desktop Only_STANDARD_P4W1R2</t>
  </si>
  <si>
    <t>Amnet Group_CTPS3 Owners PS3 Sites 6 23-8 31_160 x 600_TP_Display_Desktop Only_STANDARD_P4W1R0</t>
  </si>
  <si>
    <t>Amnet Group_RTLanding Page  8 10-8 31_1 x 1_TP_Video Player LongShort Form_Desktop Only_VIDEO_P4WF2V</t>
  </si>
  <si>
    <t>IGN COM_8 24 PS Channel Fixed RB - Billboard_970 x 250 _TP_Display _Desktop Only_TAKEOVER_P5HWJN</t>
  </si>
  <si>
    <t>IGN COM_8 24 PS Channel Fixed RB - Med Rec_300 x 250 _TP_Display _Desktop Only_TAKEOVER_P5HWJP</t>
  </si>
  <si>
    <t>GameStop_8 14 HPTO - Skin_1 x 1_SS_Page Skin_Desktop Only_TAKEOVER_P4VNBQ</t>
  </si>
  <si>
    <t>GameStop_8 14 HPTO - Med Rec_300 x 250_RM_Takeover_Desktop Only_TAKEOVER_P4VNBN</t>
  </si>
  <si>
    <t>GameStop_8 14 HPTO - Blade_970 x 66 Pushdown_RM_Takeover_Desktop Only_TAKEOVER_P4VNBP</t>
  </si>
  <si>
    <t>Pandora_8 10-8 31 Web APV Segment Targeting - 30s Video_1 x 1_SS_Video Player LongShort Form_Desktop Only_VIDEO_P4VN5P</t>
  </si>
  <si>
    <t>Pandora_8 10-8 31 Web APV Segment Targeting - Companion Banner_300 x 250_TP_Companion Ad_Desktop Only_VIDEO_P4VN5N</t>
  </si>
  <si>
    <t>Amnet Group_CTPS3 Owners PS3 Sites 6 23-8 31_300 x 600_TP_Display_Desktop Only_STANDARD_P4W1QS</t>
  </si>
  <si>
    <t>Amnet Group _CT-PS3 Owners/XBOX 360 Dual Owners_8 9-8 31 _160 x 600  _TP _Display Standard _Desktop Only _STANDARD _P51W8T</t>
  </si>
  <si>
    <t>Bleacher Report_8 10-8 31 30s Pre-Roll - AV Companion_300 x 250_RM_Display_Desktop Only_VIDEO_P4VQS6</t>
  </si>
  <si>
    <t>Bleacher Report_8 10-8 31 30s Pre-Roll - Video_1 x 1_SS_Display_Desktop Only_VIDEO_P4VQS8</t>
  </si>
  <si>
    <t>IGN com_8 10-8 31 PS3 Targeted DT Only - Pre-Roll Video_1 x 1_VAST_Display_Desktop Only_VIDEO_P4VN95</t>
  </si>
  <si>
    <t>IGN com_8 10-8 31 PS3 Targeted DT Only - Pre-Roll Companion_300 x 250_VAST_Display_Desktop Only_VIDEO_P4VN91</t>
  </si>
  <si>
    <t>Amnet Group _CT-PS3 Owners/XBOX 360 Dual Owners_8 9-8 31 _300 x 600  _TP _Display Standard _Desktop Only _STANDARD _P51W8W</t>
  </si>
  <si>
    <t>Amnet Group _RT-Connoisseurs Landing Page_8 9-8 31 _728 x 90  _TP _Display Standard _Desktop Only _STANDARD _P51W93</t>
  </si>
  <si>
    <t>GameSpotFAQs_8 25 PS Targeted Takeover - Super Leader_970 x 66 Pushdown_TP_Takeover_Desktop Only_TAKEOVER_P4VN7Z</t>
  </si>
  <si>
    <t>GameSpotFAQs_8 25 PS Targeted Takeover - MPU_300 x 250_TP_Takeover_Desktop Only_TAKEOVER_P4VN80</t>
  </si>
  <si>
    <t>GAMESPOTFAQS_8 27 PS Targeted Takeover - MPU_300 x 250 _TP_Takeover_Desktop Only_TAKEOVER_P5HPQ8</t>
  </si>
  <si>
    <t>GAMESPOTFAQS_8 27 PS Targeted Takeover - Skin_1 x 1 _SS_Takeover_Desktop Only_TAKEOVER_P5HPQ9</t>
  </si>
  <si>
    <t>GAMESPOTFAQS_8 27 PS Targeted Takeover - Super Leader_970 x 66 _TP_Takeover_Desktop Only_TAKEOVER_P5HPQB</t>
  </si>
  <si>
    <t>GameSpotFAQs_8 10 PS Targeted Takeover - MPU_300 x 250_TP_Takeover_Desktop Only_TAKEOVER_P4VN7W</t>
  </si>
  <si>
    <t>GameSpotFAQs_8 10 PS Targeted Takeover - Super Leader_970 x 66 Pushdown_TP_Takeover_Desktop Only_TAKEOVER_P4VN7X</t>
  </si>
  <si>
    <t>sdfasd</t>
  </si>
  <si>
    <t>Mixed</t>
  </si>
  <si>
    <t>Maps to Campaign &amp; Publisher Tab</t>
  </si>
  <si>
    <t>Desktop - Display</t>
  </si>
  <si>
    <t>Phone - Browser - Display</t>
  </si>
  <si>
    <t>Tablet - Browser - Display</t>
  </si>
  <si>
    <t>Tablet - App - Display</t>
  </si>
  <si>
    <t>Overall</t>
  </si>
  <si>
    <t>Device Type Dropdown</t>
  </si>
  <si>
    <t>Benchmark</t>
  </si>
  <si>
    <t>Category</t>
  </si>
  <si>
    <t>Desktop - Video</t>
  </si>
  <si>
    <t>Phone - Browser - Video</t>
  </si>
  <si>
    <t>Phone - App - Display</t>
  </si>
  <si>
    <t>Phone - App - Video</t>
  </si>
  <si>
    <t>Tablet - Browser - Video</t>
  </si>
  <si>
    <t>Tablet - App - Video</t>
  </si>
  <si>
    <t>[Enter Brand Dropdown]</t>
  </si>
  <si>
    <t>Partner</t>
  </si>
  <si>
    <t>Partner 1</t>
  </si>
  <si>
    <t>Partner 2</t>
  </si>
  <si>
    <t>Partner 3</t>
  </si>
  <si>
    <t>Placement 1</t>
  </si>
  <si>
    <t>Partner Type</t>
  </si>
  <si>
    <t>Campaign-level Mapping</t>
  </si>
  <si>
    <t>Team-level Mapping</t>
  </si>
  <si>
    <t>Direct</t>
  </si>
  <si>
    <t>Programmatic</t>
  </si>
  <si>
    <t>Region (Team)</t>
  </si>
  <si>
    <t>NO MAPPING</t>
  </si>
  <si>
    <t>Campaign 1</t>
  </si>
  <si>
    <t>YYYY-MM</t>
  </si>
  <si>
    <t>[TEAM NAME]</t>
  </si>
  <si>
    <t>Brand Safety 
[% Failed by Language]</t>
  </si>
  <si>
    <t>Viewability 
[Total Viewable Rate (Total Net Metrics)]</t>
  </si>
  <si>
    <t>Display Viewability 
[Total Viewable Rate (Total Net Metrics)]</t>
  </si>
  <si>
    <t>Video Viewability 
[Total Viewable Rate (Total Net Metrics)]</t>
  </si>
  <si>
    <t>GroupM Viewability 
[% Display Ads Fully in View]</t>
  </si>
  <si>
    <t>GroupM Viewability 
[% Videos Fully in View]</t>
  </si>
  <si>
    <t>See-Through Rate 
[% Visible]</t>
  </si>
  <si>
    <t>Publicis Viewability 
[% Display Ads Fully in View]</t>
  </si>
  <si>
    <t>Publicis Viewability 
[% Videos Fully in View]</t>
  </si>
  <si>
    <t>AKQA_Clorox</t>
  </si>
  <si>
    <t>BCC FY18 OND Burts Bees Color Cosmetics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</si>
</sst>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8"/>
      <color theme="3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22"/>
      <color theme="3"/>
      <name val="Tahoma"/>
      <family val="2"/>
    </font>
    <font>
      <b/>
      <sz val="12.5"/>
      <color theme="0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name val="Tahoma"/>
      <family val="2"/>
    </font>
    <font>
      <b/>
      <sz val="10"/>
      <color indexed="56"/>
      <name val="Tahoma"/>
      <family val="2"/>
    </font>
    <font>
      <b/>
      <sz val="10"/>
      <color theme="1" tint="0.34998626667073579"/>
      <name val="Tahoma"/>
      <family val="2"/>
    </font>
    <font>
      <sz val="10"/>
      <color indexed="56"/>
      <name val="Tahoma"/>
      <family val="2"/>
    </font>
    <font>
      <sz val="10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theme="0"/>
      <name val="Tahoma"/>
      <family val="2"/>
    </font>
    <font>
      <sz val="10"/>
      <name val="Tahoma"/>
      <family val="2"/>
    </font>
    <font>
      <b/>
      <sz val="18"/>
      <color theme="3"/>
      <name val="Tahoma"/>
      <family val="2"/>
    </font>
    <font>
      <b/>
      <sz val="10"/>
      <color theme="3"/>
      <name val="Tahoma"/>
      <family val="2"/>
    </font>
    <font>
      <b/>
      <i/>
      <sz val="10"/>
      <color theme="0"/>
      <name val="Tahoma"/>
      <family val="2"/>
    </font>
    <font>
      <b/>
      <sz val="10"/>
      <color indexed="9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</font>
    <font>
      <b/>
      <sz val="10"/>
      <name val="Tahoma"/>
    </font>
    <font>
      <sz val="10"/>
      <name val="Tahoma"/>
    </font>
    <font>
      <sz val="10"/>
      <color theme="1"/>
      <name val="Tahoma"/>
    </font>
    <font>
      <sz val="10"/>
      <color rgb="FF000000"/>
      <name val="Tahoma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AF5C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5556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2">
    <xf numFmtId="0" fontId="0" fillId="0" borderId="0" xfId="0"/>
    <xf numFmtId="0" fontId="0" fillId="0" borderId="0" xfId="0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0" fontId="0" fillId="0" borderId="0" xfId="0" applyFont="1" applyBorder="1"/>
    <xf numFmtId="0" fontId="8" fillId="3" borderId="0" xfId="0" applyFont="1" applyFill="1"/>
    <xf numFmtId="0" fontId="11" fillId="0" borderId="0" xfId="0" applyFont="1" applyFill="1" applyAlignment="1">
      <alignment horizontal="left" vertical="center" wrapText="1"/>
    </xf>
    <xf numFmtId="10" fontId="11" fillId="0" borderId="0" xfId="2" applyNumberFormat="1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1" fillId="3" borderId="0" xfId="0" applyFont="1" applyFill="1" applyProtection="1">
      <protection locked="0"/>
    </xf>
    <xf numFmtId="0" fontId="11" fillId="3" borderId="0" xfId="0" applyFont="1" applyFill="1" applyAlignment="1" applyProtection="1">
      <protection locked="0"/>
    </xf>
    <xf numFmtId="0" fontId="11" fillId="4" borderId="0" xfId="0" applyFont="1" applyFill="1" applyAlignment="1" applyProtection="1">
      <protection locked="0"/>
    </xf>
    <xf numFmtId="0" fontId="14" fillId="4" borderId="0" xfId="0" applyFont="1" applyFill="1" applyAlignment="1" applyProtection="1">
      <alignment horizontal="center" vertical="center" wrapText="1"/>
      <protection locked="0"/>
    </xf>
    <xf numFmtId="0" fontId="11" fillId="3" borderId="0" xfId="0" applyFont="1" applyFill="1" applyAlignment="1" applyProtection="1">
      <alignment horizontal="right"/>
      <protection locked="0"/>
    </xf>
    <xf numFmtId="1" fontId="11" fillId="3" borderId="0" xfId="0" applyNumberFormat="1" applyFont="1" applyFill="1" applyProtection="1">
      <protection locked="0"/>
    </xf>
    <xf numFmtId="0" fontId="14" fillId="4" borderId="0" xfId="0" applyFont="1" applyFill="1" applyAlignment="1" applyProtection="1">
      <alignment vertical="center"/>
      <protection locked="0"/>
    </xf>
    <xf numFmtId="0" fontId="15" fillId="10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vertical="center"/>
      <protection locked="0"/>
    </xf>
    <xf numFmtId="9" fontId="16" fillId="5" borderId="7" xfId="3" applyNumberFormat="1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Protection="1">
      <protection locked="0"/>
    </xf>
    <xf numFmtId="9" fontId="11" fillId="3" borderId="0" xfId="0" applyNumberFormat="1" applyFont="1" applyFill="1" applyBorder="1" applyProtection="1">
      <protection locked="0"/>
    </xf>
    <xf numFmtId="0" fontId="11" fillId="3" borderId="0" xfId="0" applyFont="1" applyFill="1" applyBorder="1" applyAlignment="1" applyProtection="1">
      <alignment vertical="center"/>
      <protection locked="0"/>
    </xf>
    <xf numFmtId="0" fontId="17" fillId="4" borderId="10" xfId="0" applyFont="1" applyFill="1" applyBorder="1" applyAlignment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 vertical="center" wrapText="1"/>
      <protection locked="0"/>
    </xf>
    <xf numFmtId="1" fontId="11" fillId="3" borderId="0" xfId="0" applyNumberFormat="1" applyFont="1" applyFill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10" fontId="11" fillId="0" borderId="1" xfId="0" applyNumberFormat="1" applyFont="1" applyFill="1" applyBorder="1" applyAlignment="1" applyProtection="1">
      <alignment horizontal="center" vertical="center"/>
      <protection locked="0"/>
    </xf>
    <xf numFmtId="1" fontId="11" fillId="0" borderId="0" xfId="2" applyNumberFormat="1" applyFont="1" applyFill="1" applyBorder="1" applyAlignment="1" applyProtection="1">
      <alignment horizontal="center" vertical="center"/>
      <protection locked="0"/>
    </xf>
    <xf numFmtId="10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3" borderId="3" xfId="0" applyFont="1" applyFill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vertical="center"/>
      <protection locked="0"/>
    </xf>
    <xf numFmtId="0" fontId="11" fillId="4" borderId="0" xfId="0" applyFont="1" applyFill="1" applyBorder="1" applyAlignment="1" applyProtection="1">
      <alignment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5" fillId="0" borderId="0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/>
      <protection locked="0"/>
    </xf>
    <xf numFmtId="0" fontId="15" fillId="0" borderId="4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/>
      <protection locked="0"/>
    </xf>
    <xf numFmtId="0" fontId="10" fillId="0" borderId="0" xfId="0" quotePrefix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left"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  <xf numFmtId="164" fontId="11" fillId="0" borderId="0" xfId="1" applyNumberFormat="1" applyFont="1" applyFill="1" applyBorder="1" applyAlignment="1" applyProtection="1">
      <alignment vertical="center"/>
      <protection locked="0"/>
    </xf>
    <xf numFmtId="3" fontId="11" fillId="0" borderId="0" xfId="0" applyNumberFormat="1" applyFont="1" applyFill="1" applyBorder="1" applyAlignment="1" applyProtection="1">
      <alignment vertical="center"/>
      <protection locked="0"/>
    </xf>
    <xf numFmtId="10" fontId="11" fillId="0" borderId="0" xfId="2" applyNumberFormat="1" applyFont="1" applyFill="1" applyBorder="1" applyAlignment="1" applyProtection="1">
      <alignment horizontal="right" vertical="center"/>
      <protection locked="0"/>
    </xf>
    <xf numFmtId="0" fontId="10" fillId="3" borderId="0" xfId="0" applyFont="1" applyFill="1" applyAlignment="1" applyProtection="1">
      <protection locked="0"/>
    </xf>
    <xf numFmtId="0" fontId="21" fillId="3" borderId="0" xfId="0" applyFont="1" applyFill="1" applyAlignment="1" applyProtection="1">
      <protection locked="0"/>
    </xf>
    <xf numFmtId="0" fontId="11" fillId="3" borderId="0" xfId="0" applyFont="1" applyFill="1"/>
    <xf numFmtId="0" fontId="20" fillId="4" borderId="0" xfId="0" applyFont="1" applyFill="1" applyAlignment="1">
      <alignment vertical="center"/>
    </xf>
    <xf numFmtId="0" fontId="17" fillId="11" borderId="11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0" borderId="0" xfId="0" applyFont="1" applyBorder="1" applyAlignment="1">
      <alignment vertical="center"/>
    </xf>
    <xf numFmtId="0" fontId="20" fillId="3" borderId="3" xfId="0" applyFont="1" applyFill="1" applyBorder="1" applyAlignment="1">
      <alignment vertical="center"/>
    </xf>
    <xf numFmtId="0" fontId="20" fillId="6" borderId="0" xfId="0" applyFont="1" applyFill="1" applyBorder="1" applyAlignment="1">
      <alignment vertical="center"/>
    </xf>
    <xf numFmtId="0" fontId="20" fillId="4" borderId="0" xfId="0" applyFont="1" applyFill="1" applyBorder="1" applyAlignment="1">
      <alignment vertical="center"/>
    </xf>
    <xf numFmtId="9" fontId="11" fillId="0" borderId="0" xfId="2" applyFont="1" applyFill="1" applyBorder="1" applyAlignment="1" applyProtection="1">
      <alignment horizontal="center" vertical="center"/>
      <protection locked="0"/>
    </xf>
    <xf numFmtId="9" fontId="11" fillId="0" borderId="0" xfId="2" applyNumberFormat="1" applyFont="1" applyFill="1" applyBorder="1" applyAlignment="1" applyProtection="1">
      <alignment horizontal="center" vertical="center"/>
      <protection locked="0"/>
    </xf>
    <xf numFmtId="0" fontId="20" fillId="3" borderId="0" xfId="0" applyFont="1" applyFill="1" applyBorder="1" applyAlignment="1">
      <alignment vertical="center"/>
    </xf>
    <xf numFmtId="0" fontId="11" fillId="4" borderId="0" xfId="0" applyFont="1" applyFill="1" applyAlignment="1">
      <alignment vertical="center"/>
    </xf>
    <xf numFmtId="0" fontId="20" fillId="4" borderId="0" xfId="0" applyFont="1" applyFill="1" applyAlignment="1" applyProtection="1">
      <alignment vertical="center"/>
      <protection locked="0"/>
    </xf>
    <xf numFmtId="17" fontId="17" fillId="4" borderId="0" xfId="0" applyNumberFormat="1" applyFont="1" applyFill="1" applyBorder="1" applyAlignment="1" applyProtection="1">
      <alignment vertical="center"/>
      <protection locked="0"/>
    </xf>
    <xf numFmtId="17" fontId="23" fillId="3" borderId="0" xfId="0" applyNumberFormat="1" applyFont="1" applyFill="1" applyBorder="1" applyAlignment="1" applyProtection="1">
      <alignment vertical="center"/>
      <protection locked="0"/>
    </xf>
    <xf numFmtId="17" fontId="17" fillId="3" borderId="0" xfId="0" applyNumberFormat="1" applyFont="1" applyFill="1" applyBorder="1" applyAlignment="1" applyProtection="1">
      <alignment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vertical="center"/>
      <protection locked="0"/>
    </xf>
    <xf numFmtId="17" fontId="23" fillId="4" borderId="0" xfId="0" applyNumberFormat="1" applyFont="1" applyFill="1" applyBorder="1" applyAlignment="1" applyProtection="1">
      <alignment vertical="center"/>
      <protection locked="0"/>
    </xf>
    <xf numFmtId="0" fontId="14" fillId="4" borderId="0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1" fillId="0" borderId="0" xfId="0" applyFont="1" applyFill="1" applyAlignment="1" applyProtection="1">
      <alignment vertical="center"/>
      <protection locked="0"/>
    </xf>
    <xf numFmtId="10" fontId="11" fillId="3" borderId="0" xfId="2" applyNumberFormat="1" applyFont="1" applyFill="1" applyAlignment="1" applyProtection="1">
      <alignment horizontal="right"/>
      <protection locked="0"/>
    </xf>
    <xf numFmtId="0" fontId="9" fillId="3" borderId="0" xfId="0" applyFont="1" applyFill="1" applyBorder="1" applyAlignment="1" applyProtection="1">
      <alignment vertical="center"/>
      <protection locked="0"/>
    </xf>
    <xf numFmtId="9" fontId="16" fillId="12" borderId="8" xfId="2" applyNumberFormat="1" applyFont="1" applyFill="1" applyBorder="1" applyAlignment="1" applyProtection="1">
      <alignment horizontal="center" vertical="center" wrapText="1"/>
      <protection locked="0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17" fontId="23" fillId="3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15" fillId="0" borderId="1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vertical="center"/>
      <protection locked="0"/>
    </xf>
    <xf numFmtId="164" fontId="11" fillId="0" borderId="14" xfId="1" applyNumberFormat="1" applyFont="1" applyFill="1" applyBorder="1" applyAlignment="1" applyProtection="1">
      <alignment vertical="center"/>
      <protection locked="0"/>
    </xf>
    <xf numFmtId="3" fontId="11" fillId="0" borderId="14" xfId="0" applyNumberFormat="1" applyFont="1" applyFill="1" applyBorder="1" applyAlignment="1" applyProtection="1">
      <alignment vertical="center"/>
      <protection locked="0"/>
    </xf>
    <xf numFmtId="10" fontId="11" fillId="0" borderId="14" xfId="2" applyNumberFormat="1" applyFont="1" applyFill="1" applyBorder="1" applyAlignment="1" applyProtection="1">
      <alignment horizontal="right" vertical="center"/>
      <protection locked="0"/>
    </xf>
    <xf numFmtId="0" fontId="14" fillId="4" borderId="11" xfId="0" applyFont="1" applyFill="1" applyBorder="1" applyAlignment="1" applyProtection="1">
      <alignment vertical="center"/>
      <protection locked="0"/>
    </xf>
    <xf numFmtId="0" fontId="10" fillId="0" borderId="13" xfId="0" applyFont="1" applyFill="1" applyBorder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 wrapText="1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17" fontId="17" fillId="0" borderId="0" xfId="0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 applyProtection="1">
      <alignment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/>
    </xf>
    <xf numFmtId="0" fontId="20" fillId="4" borderId="0" xfId="0" applyFont="1" applyFill="1" applyAlignment="1" applyProtection="1">
      <alignment horizontal="center" vertical="center"/>
      <protection locked="0"/>
    </xf>
    <xf numFmtId="0" fontId="17" fillId="8" borderId="0" xfId="0" applyFont="1" applyFill="1" applyBorder="1" applyAlignment="1" applyProtection="1">
      <alignment horizontal="center" vertical="center" wrapText="1"/>
      <protection locked="0"/>
    </xf>
    <xf numFmtId="0" fontId="17" fillId="9" borderId="0" xfId="0" applyFont="1" applyFill="1" applyBorder="1" applyAlignment="1" applyProtection="1">
      <alignment horizontal="center" vertical="center" wrapText="1"/>
      <protection locked="0"/>
    </xf>
    <xf numFmtId="0" fontId="17" fillId="8" borderId="0" xfId="0" applyFont="1" applyFill="1" applyBorder="1" applyAlignment="1" applyProtection="1">
      <alignment horizontal="center" vertical="center"/>
      <protection locked="0"/>
    </xf>
    <xf numFmtId="0" fontId="20" fillId="8" borderId="0" xfId="0" applyFont="1" applyFill="1" applyBorder="1" applyAlignment="1" applyProtection="1">
      <alignment horizontal="center" vertical="center"/>
      <protection locked="0"/>
    </xf>
    <xf numFmtId="0" fontId="17" fillId="11" borderId="0" xfId="0" applyFont="1" applyFill="1" applyBorder="1" applyAlignment="1" applyProtection="1">
      <alignment horizontal="center" vertical="center" wrapText="1"/>
      <protection locked="0"/>
    </xf>
    <xf numFmtId="0" fontId="22" fillId="8" borderId="0" xfId="0" applyFont="1" applyFill="1" applyBorder="1" applyAlignment="1" applyProtection="1">
      <alignment horizontal="center" vertical="center"/>
      <protection locked="0"/>
    </xf>
    <xf numFmtId="0" fontId="24" fillId="8" borderId="0" xfId="0" applyFont="1" applyFill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vertical="center"/>
      <protection locked="0"/>
    </xf>
    <xf numFmtId="0" fontId="14" fillId="4" borderId="14" xfId="0" applyFont="1" applyFill="1" applyBorder="1" applyAlignment="1" applyProtection="1">
      <alignment vertical="center"/>
      <protection locked="0"/>
    </xf>
    <xf numFmtId="0" fontId="17" fillId="9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>
      <alignment horizontal="center" vertical="center"/>
    </xf>
    <xf numFmtId="0" fontId="17" fillId="11" borderId="14" xfId="0" applyFont="1" applyFill="1" applyBorder="1" applyAlignment="1" applyProtection="1">
      <alignment horizontal="center" vertical="center" wrapText="1"/>
      <protection locked="0"/>
    </xf>
    <xf numFmtId="10" fontId="11" fillId="0" borderId="14" xfId="2" applyNumberFormat="1" applyFont="1" applyFill="1" applyBorder="1" applyAlignment="1" applyProtection="1">
      <alignment horizontal="center" vertical="center"/>
      <protection locked="0" hidden="1"/>
    </xf>
    <xf numFmtId="0" fontId="15" fillId="0" borderId="12" xfId="0" applyFont="1" applyFill="1" applyBorder="1" applyAlignment="1" applyProtection="1">
      <alignment horizontal="center" vertical="center" wrapText="1"/>
      <protection locked="0"/>
    </xf>
    <xf numFmtId="0" fontId="19" fillId="10" borderId="0" xfId="0" applyFont="1" applyFill="1" applyBorder="1" applyAlignment="1">
      <alignment vertical="center" wrapText="1"/>
    </xf>
    <xf numFmtId="0" fontId="19" fillId="7" borderId="0" xfId="0" applyFont="1" applyFill="1" applyBorder="1" applyAlignment="1">
      <alignment vertical="center" wrapText="1"/>
    </xf>
    <xf numFmtId="0" fontId="19" fillId="10" borderId="13" xfId="0" applyFont="1" applyFill="1" applyBorder="1" applyAlignment="1">
      <alignment vertical="center" wrapText="1"/>
    </xf>
    <xf numFmtId="0" fontId="19" fillId="10" borderId="14" xfId="0" applyFont="1" applyFill="1" applyBorder="1" applyAlignment="1">
      <alignment vertical="center" wrapText="1"/>
    </xf>
    <xf numFmtId="0" fontId="19" fillId="7" borderId="14" xfId="0" applyFont="1" applyFill="1" applyBorder="1" applyAlignment="1">
      <alignment vertical="center" wrapText="1"/>
    </xf>
    <xf numFmtId="0" fontId="15" fillId="10" borderId="13" xfId="0" applyFont="1" applyFill="1" applyBorder="1" applyAlignment="1">
      <alignment vertical="center" wrapText="1"/>
    </xf>
    <xf numFmtId="0" fontId="15" fillId="10" borderId="14" xfId="0" applyFont="1" applyFill="1" applyBorder="1" applyAlignment="1">
      <alignment vertical="center" wrapText="1"/>
    </xf>
    <xf numFmtId="0" fontId="15" fillId="7" borderId="14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5" fillId="7" borderId="0" xfId="0" applyFont="1" applyFill="1" applyBorder="1" applyAlignment="1">
      <alignment vertical="center" wrapText="1"/>
    </xf>
    <xf numFmtId="0" fontId="17" fillId="9" borderId="1" xfId="0" applyFont="1" applyFill="1" applyBorder="1" applyAlignment="1" applyProtection="1">
      <alignment horizontal="center" vertical="center" wrapText="1"/>
      <protection locked="0"/>
    </xf>
    <xf numFmtId="0" fontId="17" fillId="8" borderId="18" xfId="0" applyFont="1" applyFill="1" applyBorder="1" applyAlignment="1" applyProtection="1">
      <alignment horizontal="center" vertical="center" wrapText="1"/>
      <protection locked="0"/>
    </xf>
    <xf numFmtId="10" fontId="11" fillId="0" borderId="18" xfId="2" applyNumberFormat="1" applyFont="1" applyFill="1" applyBorder="1" applyAlignment="1" applyProtection="1">
      <alignment horizontal="center" vertical="center"/>
      <protection locked="0"/>
    </xf>
    <xf numFmtId="0" fontId="14" fillId="4" borderId="18" xfId="0" applyFont="1" applyFill="1" applyBorder="1" applyAlignment="1" applyProtection="1">
      <alignment vertical="center"/>
      <protection locked="0"/>
    </xf>
    <xf numFmtId="17" fontId="17" fillId="0" borderId="0" xfId="0" applyNumberFormat="1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Protection="1">
      <protection locked="0"/>
    </xf>
    <xf numFmtId="0" fontId="25" fillId="3" borderId="0" xfId="0" applyFont="1" applyFill="1" applyAlignment="1" applyProtection="1">
      <protection locked="0"/>
    </xf>
    <xf numFmtId="0" fontId="25" fillId="4" borderId="0" xfId="0" applyFont="1" applyFill="1" applyAlignment="1" applyProtection="1">
      <protection locked="0"/>
    </xf>
    <xf numFmtId="0" fontId="26" fillId="4" borderId="0" xfId="0" applyFont="1" applyFill="1" applyAlignment="1" applyProtection="1">
      <alignment horizontal="center" vertical="center" wrapText="1"/>
      <protection locked="0"/>
    </xf>
    <xf numFmtId="0" fontId="25" fillId="3" borderId="0" xfId="0" applyFont="1" applyFill="1" applyAlignment="1" applyProtection="1">
      <alignment horizontal="right"/>
      <protection locked="0"/>
    </xf>
    <xf numFmtId="1" fontId="25" fillId="3" borderId="0" xfId="0" applyNumberFormat="1" applyFont="1" applyFill="1" applyProtection="1">
      <protection locked="0"/>
    </xf>
    <xf numFmtId="0" fontId="26" fillId="4" borderId="0" xfId="0" applyFont="1" applyFill="1" applyAlignment="1" applyProtection="1">
      <alignment vertical="center"/>
      <protection locked="0"/>
    </xf>
    <xf numFmtId="0" fontId="27" fillId="10" borderId="6" xfId="0" applyFont="1" applyFill="1" applyBorder="1" applyAlignment="1" applyProtection="1">
      <alignment horizontal="center" vertical="center"/>
      <protection locked="0"/>
    </xf>
    <xf numFmtId="0" fontId="25" fillId="3" borderId="0" xfId="0" applyFont="1" applyFill="1" applyAlignment="1" applyProtection="1">
      <alignment vertical="center"/>
      <protection locked="0"/>
    </xf>
    <xf numFmtId="9" fontId="28" fillId="5" borderId="7" xfId="3" applyNumberFormat="1" applyFont="1" applyFill="1" applyBorder="1" applyAlignment="1" applyProtection="1">
      <alignment horizontal="center"/>
      <protection locked="0"/>
    </xf>
    <xf numFmtId="9" fontId="28" fillId="12" borderId="8" xfId="2" applyNumberFormat="1" applyFont="1" applyFill="1" applyBorder="1" applyAlignment="1" applyProtection="1">
      <alignment horizontal="center" vertical="center" wrapText="1"/>
      <protection locked="0"/>
    </xf>
    <xf numFmtId="0" fontId="25" fillId="3" borderId="0" xfId="0" applyFont="1" applyFill="1" applyBorder="1" applyProtection="1">
      <protection locked="0"/>
    </xf>
    <xf numFmtId="9" fontId="25" fillId="3" borderId="0" xfId="0" applyNumberFormat="1" applyFont="1" applyFill="1" applyBorder="1" applyProtection="1">
      <protection locked="0"/>
    </xf>
    <xf numFmtId="0" fontId="25" fillId="3" borderId="0" xfId="0" applyFont="1" applyFill="1" applyBorder="1" applyAlignment="1" applyProtection="1">
      <alignment vertical="center"/>
      <protection locked="0"/>
    </xf>
    <xf numFmtId="0" fontId="30" fillId="4" borderId="10" xfId="0" applyFont="1" applyFill="1" applyBorder="1" applyAlignment="1" applyProtection="1">
      <alignment vertical="center"/>
      <protection locked="0"/>
    </xf>
    <xf numFmtId="0" fontId="30" fillId="4" borderId="0" xfId="0" applyFont="1" applyFill="1" applyAlignment="1" applyProtection="1">
      <alignment vertical="center"/>
      <protection locked="0"/>
    </xf>
    <xf numFmtId="0" fontId="26" fillId="4" borderId="11" xfId="0" applyFont="1" applyFill="1" applyBorder="1" applyAlignment="1" applyProtection="1">
      <alignment vertical="center"/>
      <protection locked="0"/>
    </xf>
    <xf numFmtId="0" fontId="27" fillId="0" borderId="12" xfId="0" applyFont="1" applyFill="1" applyBorder="1" applyAlignment="1" applyProtection="1">
      <alignment horizontal="center" vertical="center" wrapText="1"/>
      <protection locked="0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1" fontId="25" fillId="3" borderId="0" xfId="0" applyNumberFormat="1" applyFont="1" applyFill="1" applyAlignment="1" applyProtection="1">
      <alignment vertical="center"/>
      <protection locked="0"/>
    </xf>
    <xf numFmtId="0" fontId="26" fillId="4" borderId="0" xfId="0" applyFont="1" applyFill="1" applyBorder="1" applyAlignment="1" applyProtection="1">
      <alignment vertical="center"/>
      <protection locked="0"/>
    </xf>
    <xf numFmtId="0" fontId="30" fillId="4" borderId="0" xfId="0" applyFont="1" applyFill="1" applyBorder="1" applyAlignment="1" applyProtection="1">
      <alignment vertical="center"/>
      <protection locked="0"/>
    </xf>
    <xf numFmtId="0" fontId="30" fillId="4" borderId="3" xfId="0" applyFont="1" applyFill="1" applyBorder="1" applyAlignment="1" applyProtection="1">
      <alignment vertical="center"/>
      <protection locked="0"/>
    </xf>
    <xf numFmtId="0" fontId="26" fillId="4" borderId="1" xfId="0" applyFont="1" applyFill="1" applyBorder="1" applyAlignment="1" applyProtection="1">
      <alignment vertical="center"/>
      <protection locked="0"/>
    </xf>
    <xf numFmtId="0" fontId="30" fillId="9" borderId="1" xfId="0" applyFont="1" applyFill="1" applyBorder="1" applyAlignment="1" applyProtection="1">
      <alignment horizontal="center" vertical="center" wrapText="1"/>
      <protection locked="0"/>
    </xf>
    <xf numFmtId="0" fontId="25" fillId="0" borderId="1" xfId="0" applyFont="1" applyFill="1" applyBorder="1" applyAlignment="1" applyProtection="1">
      <alignment horizontal="center" vertical="center"/>
      <protection locked="0"/>
    </xf>
    <xf numFmtId="9" fontId="25" fillId="0" borderId="1" xfId="0" applyNumberFormat="1" applyFont="1" applyFill="1" applyBorder="1" applyAlignment="1" applyProtection="1">
      <alignment horizontal="center" vertical="center"/>
      <protection locked="0"/>
    </xf>
    <xf numFmtId="0" fontId="26" fillId="4" borderId="18" xfId="0" applyFont="1" applyFill="1" applyBorder="1" applyAlignment="1" applyProtection="1">
      <alignment vertical="center"/>
      <protection locked="0"/>
    </xf>
    <xf numFmtId="0" fontId="30" fillId="8" borderId="18" xfId="0" applyFont="1" applyFill="1" applyBorder="1" applyAlignment="1" applyProtection="1">
      <alignment horizontal="center" vertical="center" wrapText="1"/>
      <protection locked="0"/>
    </xf>
    <xf numFmtId="10" fontId="25" fillId="0" borderId="18" xfId="0" applyNumberFormat="1" applyFont="1" applyFill="1" applyBorder="1" applyAlignment="1" applyProtection="1">
      <alignment horizontal="center" vertical="center"/>
      <protection locked="0"/>
    </xf>
    <xf numFmtId="9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5" fillId="0" borderId="18" xfId="0" applyNumberFormat="1" applyFont="1" applyFill="1" applyBorder="1" applyAlignment="1" applyProtection="1">
      <alignment horizontal="center" vertical="center"/>
      <protection locked="0" hidden="1"/>
    </xf>
    <xf numFmtId="10" fontId="28" fillId="0" borderId="18" xfId="0" applyNumberFormat="1" applyFont="1" applyFill="1" applyBorder="1" applyAlignment="1" applyProtection="1">
      <alignment horizontal="center" vertical="center"/>
      <protection locked="0"/>
    </xf>
    <xf numFmtId="10" fontId="28" fillId="0" borderId="18" xfId="0" applyNumberFormat="1" applyFont="1" applyFill="1" applyBorder="1" applyAlignment="1" applyProtection="1">
      <alignment horizontal="center" vertical="center"/>
      <protection locked="0" hidden="1"/>
    </xf>
    <xf numFmtId="17" fontId="30" fillId="4" borderId="10" xfId="0" applyNumberFormat="1" applyFont="1" applyFill="1" applyBorder="1" applyAlignment="1" applyProtection="1">
      <alignment vertical="center"/>
      <protection locked="0"/>
    </xf>
    <xf numFmtId="0" fontId="32" fillId="10" borderId="13" xfId="0" applyFont="1" applyFill="1" applyBorder="1" applyAlignment="1">
      <alignment vertical="center" wrapText="1"/>
    </xf>
    <xf numFmtId="0" fontId="27" fillId="10" borderId="14" xfId="0" applyFont="1" applyFill="1" applyBorder="1" applyAlignment="1">
      <alignment vertical="center" wrapText="1"/>
    </xf>
    <xf numFmtId="0" fontId="26" fillId="4" borderId="14" xfId="0" applyFont="1" applyFill="1" applyBorder="1" applyAlignment="1" applyProtection="1">
      <alignment vertical="center"/>
      <protection locked="0"/>
    </xf>
    <xf numFmtId="0" fontId="30" fillId="9" borderId="14" xfId="0" applyFont="1" applyFill="1" applyBorder="1" applyAlignment="1" applyProtection="1">
      <alignment horizontal="center" vertical="center" wrapText="1"/>
      <protection locked="0"/>
    </xf>
    <xf numFmtId="10" fontId="25" fillId="0" borderId="14" xfId="2" applyNumberFormat="1" applyFont="1" applyFill="1" applyBorder="1" applyAlignment="1" applyProtection="1">
      <alignment horizontal="center" vertical="center"/>
      <protection locked="0"/>
    </xf>
    <xf numFmtId="10" fontId="25" fillId="0" borderId="14" xfId="2" applyNumberFormat="1" applyFont="1" applyFill="1" applyBorder="1" applyAlignment="1">
      <alignment horizontal="center" vertical="center"/>
    </xf>
    <xf numFmtId="0" fontId="32" fillId="10" borderId="0" xfId="0" applyFont="1" applyFill="1" applyBorder="1" applyAlignment="1">
      <alignment vertical="center" wrapText="1"/>
    </xf>
    <xf numFmtId="0" fontId="30" fillId="8" borderId="0" xfId="0" applyFont="1" applyFill="1" applyBorder="1" applyAlignment="1" applyProtection="1">
      <alignment horizontal="center" vertical="center" wrapText="1"/>
      <protection locked="0"/>
    </xf>
    <xf numFmtId="1" fontId="25" fillId="0" borderId="0" xfId="2" applyNumberFormat="1" applyFont="1" applyFill="1" applyBorder="1" applyAlignment="1" applyProtection="1">
      <alignment horizontal="center" vertical="center"/>
      <protection locked="0"/>
    </xf>
    <xf numFmtId="10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26" fillId="6" borderId="0" xfId="0" applyFont="1" applyFill="1" applyBorder="1" applyAlignment="1" applyProtection="1">
      <alignment vertical="center"/>
      <protection locked="0"/>
    </xf>
    <xf numFmtId="0" fontId="30" fillId="6" borderId="0" xfId="0" applyFont="1" applyFill="1" applyBorder="1" applyAlignment="1" applyProtection="1">
      <alignment vertical="center"/>
      <protection locked="0"/>
    </xf>
    <xf numFmtId="0" fontId="30" fillId="6" borderId="3" xfId="0" applyFont="1" applyFill="1" applyBorder="1" applyAlignment="1" applyProtection="1">
      <alignment vertical="center"/>
      <protection locked="0"/>
    </xf>
    <xf numFmtId="0" fontId="30" fillId="9" borderId="0" xfId="0" applyFont="1" applyFill="1" applyBorder="1" applyAlignment="1" applyProtection="1">
      <alignment horizontal="center" vertical="center" wrapText="1"/>
      <protection locked="0"/>
    </xf>
    <xf numFmtId="9" fontId="25" fillId="0" borderId="0" xfId="2" applyFont="1" applyFill="1" applyBorder="1" applyAlignment="1" applyProtection="1">
      <alignment horizontal="center" vertical="center"/>
      <protection locked="0"/>
    </xf>
    <xf numFmtId="9" fontId="25" fillId="0" borderId="0" xfId="2" applyNumberFormat="1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30" fillId="4" borderId="10" xfId="0" applyFont="1" applyFill="1" applyBorder="1" applyAlignment="1" applyProtection="1">
      <alignment horizontal="center" vertical="center"/>
      <protection locked="0"/>
    </xf>
    <xf numFmtId="0" fontId="30" fillId="8" borderId="0" xfId="0" applyFont="1" applyFill="1" applyBorder="1" applyAlignment="1" applyProtection="1">
      <alignment horizontal="center" vertical="center"/>
      <protection locked="0"/>
    </xf>
    <xf numFmtId="0" fontId="33" fillId="8" borderId="0" xfId="0" applyFont="1" applyFill="1" applyBorder="1" applyAlignment="1" applyProtection="1">
      <alignment horizontal="center" vertical="center"/>
      <protection locked="0"/>
    </xf>
    <xf numFmtId="0" fontId="25" fillId="0" borderId="0" xfId="0" applyFont="1" applyFill="1" applyBorder="1" applyAlignment="1" applyProtection="1">
      <alignment vertical="center"/>
      <protection locked="0"/>
    </xf>
    <xf numFmtId="0" fontId="25" fillId="4" borderId="0" xfId="0" applyFont="1" applyFill="1" applyBorder="1" applyAlignment="1" applyProtection="1">
      <alignment vertical="center"/>
      <protection locked="0"/>
    </xf>
    <xf numFmtId="0" fontId="25" fillId="3" borderId="0" xfId="0" applyFont="1" applyFill="1" applyAlignment="1" applyProtection="1">
      <alignment horizontal="center" vertical="center"/>
      <protection locked="0"/>
    </xf>
    <xf numFmtId="0" fontId="25" fillId="3" borderId="0" xfId="0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 applyProtection="1">
      <alignment horizontal="center" vertical="center"/>
      <protection locked="0"/>
    </xf>
    <xf numFmtId="0" fontId="27" fillId="0" borderId="1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/>
      <protection locked="0"/>
    </xf>
    <xf numFmtId="0" fontId="27" fillId="0" borderId="4" xfId="0" applyFont="1" applyFill="1" applyBorder="1" applyAlignment="1" applyProtection="1">
      <alignment horizontal="center" vertical="center" wrapText="1"/>
      <protection locked="0"/>
    </xf>
    <xf numFmtId="0" fontId="34" fillId="0" borderId="0" xfId="0" quotePrefix="1" applyFont="1" applyFill="1" applyBorder="1" applyAlignment="1" applyProtection="1">
      <alignment horizontal="center" vertical="center" wrapText="1"/>
      <protection locked="0"/>
    </xf>
    <xf numFmtId="0" fontId="34" fillId="0" borderId="13" xfId="0" applyFont="1" applyFill="1" applyBorder="1" applyAlignment="1" applyProtection="1">
      <alignment horizontal="left" vertical="center"/>
      <protection locked="0"/>
    </xf>
    <xf numFmtId="0" fontId="34" fillId="0" borderId="14" xfId="0" applyFont="1" applyFill="1" applyBorder="1" applyAlignment="1" applyProtection="1">
      <alignment vertical="center"/>
      <protection locked="0"/>
    </xf>
    <xf numFmtId="164" fontId="25" fillId="0" borderId="14" xfId="1" applyNumberFormat="1" applyFont="1" applyFill="1" applyBorder="1" applyAlignment="1" applyProtection="1">
      <alignment vertical="center"/>
      <protection locked="0"/>
    </xf>
    <xf numFmtId="3" fontId="25" fillId="0" borderId="14" xfId="0" applyNumberFormat="1" applyFont="1" applyFill="1" applyBorder="1" applyAlignment="1" applyProtection="1">
      <alignment vertical="center"/>
      <protection locked="0"/>
    </xf>
    <xf numFmtId="10" fontId="25" fillId="0" borderId="14" xfId="2" applyNumberFormat="1" applyFont="1" applyFill="1" applyBorder="1" applyAlignment="1" applyProtection="1">
      <alignment horizontal="right" vertical="center"/>
      <protection locked="0"/>
    </xf>
    <xf numFmtId="0" fontId="35" fillId="3" borderId="0" xfId="0" applyFont="1" applyFill="1" applyAlignment="1" applyProtection="1">
      <protection locked="0"/>
    </xf>
    <xf numFmtId="0" fontId="34" fillId="3" borderId="0" xfId="0" applyFont="1" applyFill="1" applyAlignment="1" applyProtection="1">
      <protection locked="0"/>
    </xf>
    <xf numFmtId="10" fontId="25" fillId="0" borderId="18" xfId="2" applyNumberFormat="1" applyFont="1" applyFill="1" applyBorder="1" applyAlignment="1" applyProtection="1">
      <alignment horizontal="center" vertical="center"/>
      <protection locked="0"/>
    </xf>
    <xf numFmtId="10" fontId="11" fillId="3" borderId="0" xfId="2" applyNumberFormat="1" applyFont="1" applyFill="1" applyProtection="1">
      <protection locked="0"/>
    </xf>
    <xf numFmtId="10" fontId="11" fillId="3" borderId="0" xfId="2" applyNumberFormat="1" applyFont="1" applyFill="1" applyAlignment="1" applyProtection="1">
      <protection locked="0"/>
    </xf>
    <xf numFmtId="0" fontId="36" fillId="0" borderId="0" xfId="0" applyNumberFormat="1" applyFont="1" applyFill="1" applyAlignment="1" applyProtection="1">
      <alignment horizontal="center" vertical="center"/>
      <protection locked="0"/>
    </xf>
    <xf numFmtId="0" fontId="36" fillId="0" borderId="0" xfId="0" applyFont="1" applyFill="1" applyAlignment="1" applyProtection="1">
      <alignment horizontal="left" vertical="center"/>
      <protection locked="0"/>
    </xf>
    <xf numFmtId="0" fontId="37" fillId="0" borderId="10" xfId="0" applyFont="1" applyFill="1" applyBorder="1" applyAlignment="1" applyProtection="1">
      <alignment vertical="center"/>
      <protection locked="0"/>
    </xf>
    <xf numFmtId="0" fontId="36" fillId="0" borderId="0" xfId="0" applyFont="1" applyFill="1" applyAlignment="1" applyProtection="1">
      <alignment vertical="center"/>
      <protection locked="0"/>
    </xf>
    <xf numFmtId="164" fontId="38" fillId="0" borderId="0" xfId="1" applyNumberFormat="1" applyFont="1" applyFill="1" applyAlignment="1" applyProtection="1">
      <alignment vertical="center"/>
      <protection locked="0"/>
    </xf>
    <xf numFmtId="3" fontId="39" fillId="0" borderId="0" xfId="1" applyNumberFormat="1" applyFont="1" applyFill="1" applyAlignment="1" applyProtection="1">
      <alignment vertical="center"/>
      <protection locked="0"/>
    </xf>
    <xf numFmtId="10" fontId="39" fillId="0" borderId="0" xfId="2" applyNumberFormat="1" applyFont="1" applyFill="1" applyAlignment="1" applyProtection="1">
      <alignment horizontal="right" vertical="center"/>
      <protection locked="0"/>
    </xf>
    <xf numFmtId="10" fontId="40" fillId="0" borderId="0" xfId="2" applyNumberFormat="1" applyFont="1" applyFill="1" applyAlignment="1" applyProtection="1">
      <alignment horizontal="right" vertical="center"/>
      <protection locked="0"/>
    </xf>
    <xf numFmtId="10" fontId="39" fillId="3" borderId="0" xfId="2" applyNumberFormat="1" applyFont="1" applyFill="1" applyAlignment="1" applyProtection="1">
      <alignment horizontal="right"/>
      <protection locked="0"/>
    </xf>
    <xf numFmtId="0" fontId="37" fillId="0" borderId="0" xfId="0" applyFont="1" applyFill="1" applyAlignment="1" applyProtection="1">
      <alignment vertical="center"/>
      <protection locked="0"/>
    </xf>
    <xf numFmtId="17" fontId="30" fillId="3" borderId="0" xfId="0" applyNumberFormat="1" applyFont="1" applyFill="1" applyBorder="1" applyAlignment="1" applyProtection="1">
      <alignment horizontal="center" vertical="center"/>
      <protection locked="0"/>
    </xf>
    <xf numFmtId="17" fontId="30" fillId="3" borderId="3" xfId="0" applyNumberFormat="1" applyFont="1" applyFill="1" applyBorder="1" applyAlignment="1" applyProtection="1">
      <alignment horizontal="center" vertical="center"/>
      <protection locked="0"/>
    </xf>
    <xf numFmtId="0" fontId="32" fillId="10" borderId="0" xfId="0" applyFont="1" applyFill="1" applyBorder="1" applyAlignment="1">
      <alignment horizontal="center" vertical="center" wrapText="1"/>
    </xf>
    <xf numFmtId="0" fontId="27" fillId="10" borderId="15" xfId="0" applyFont="1" applyFill="1" applyBorder="1" applyAlignment="1">
      <alignment horizontal="center" vertical="center" wrapText="1"/>
    </xf>
    <xf numFmtId="0" fontId="27" fillId="10" borderId="16" xfId="0" applyFont="1" applyFill="1" applyBorder="1" applyAlignment="1">
      <alignment horizontal="center" vertical="center" wrapText="1"/>
    </xf>
    <xf numFmtId="0" fontId="31" fillId="10" borderId="11" xfId="0" applyFont="1" applyFill="1" applyBorder="1" applyAlignment="1">
      <alignment horizontal="center" vertical="center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7" xfId="0" applyFont="1" applyFill="1" applyBorder="1" applyAlignment="1">
      <alignment horizontal="center" vertical="center" wrapText="1"/>
    </xf>
    <xf numFmtId="0" fontId="32" fillId="10" borderId="18" xfId="0" applyFont="1" applyFill="1" applyBorder="1" applyAlignment="1">
      <alignment horizontal="center" vertical="center" wrapText="1"/>
    </xf>
    <xf numFmtId="0" fontId="29" fillId="3" borderId="0" xfId="0" applyFont="1" applyFill="1" applyBorder="1" applyAlignment="1" applyProtection="1">
      <alignment horizontal="center" vertical="center"/>
      <protection locked="0"/>
    </xf>
    <xf numFmtId="0" fontId="29" fillId="3" borderId="3" xfId="0" applyFont="1" applyFill="1" applyBorder="1" applyAlignment="1" applyProtection="1">
      <alignment horizontal="center" vertical="center"/>
      <protection locked="0"/>
    </xf>
    <xf numFmtId="0" fontId="30" fillId="3" borderId="0" xfId="0" applyFont="1" applyFill="1" applyBorder="1" applyAlignment="1" applyProtection="1">
      <alignment horizontal="center" vertical="center"/>
      <protection locked="0"/>
    </xf>
    <xf numFmtId="0" fontId="30" fillId="3" borderId="3" xfId="0" applyFont="1" applyFill="1" applyBorder="1" applyAlignment="1" applyProtection="1">
      <alignment horizontal="center" vertical="center"/>
      <protection locked="0"/>
    </xf>
    <xf numFmtId="0" fontId="15" fillId="10" borderId="15" xfId="0" applyFont="1" applyFill="1" applyBorder="1" applyAlignment="1">
      <alignment horizontal="center" vertical="center" wrapText="1"/>
    </xf>
    <xf numFmtId="0" fontId="15" fillId="10" borderId="16" xfId="0" applyFont="1" applyFill="1" applyBorder="1" applyAlignment="1">
      <alignment horizontal="center" vertical="center" wrapText="1"/>
    </xf>
    <xf numFmtId="0" fontId="14" fillId="6" borderId="0" xfId="0" applyFont="1" applyFill="1" applyAlignment="1" applyProtection="1">
      <alignment horizontal="center" vertical="center"/>
      <protection locked="0"/>
    </xf>
    <xf numFmtId="0" fontId="17" fillId="6" borderId="0" xfId="0" applyFont="1" applyFill="1" applyAlignment="1" applyProtection="1">
      <alignment horizontal="center" vertical="center"/>
      <protection locked="0"/>
    </xf>
    <xf numFmtId="0" fontId="17" fillId="6" borderId="3" xfId="0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7" fillId="4" borderId="3" xfId="0" applyFont="1" applyFill="1" applyBorder="1" applyAlignment="1" applyProtection="1">
      <alignment horizontal="center" vertical="center"/>
      <protection locked="0"/>
    </xf>
    <xf numFmtId="0" fontId="19" fillId="10" borderId="0" xfId="0" applyFont="1" applyFill="1" applyBorder="1" applyAlignment="1">
      <alignment horizontal="center" vertical="center" wrapText="1"/>
    </xf>
    <xf numFmtId="0" fontId="18" fillId="10" borderId="11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 wrapText="1"/>
    </xf>
    <xf numFmtId="0" fontId="19" fillId="10" borderId="17" xfId="0" applyFont="1" applyFill="1" applyBorder="1" applyAlignment="1">
      <alignment horizontal="center" vertical="center" wrapText="1"/>
    </xf>
    <xf numFmtId="0" fontId="19" fillId="10" borderId="18" xfId="0" applyFont="1" applyFill="1" applyBorder="1" applyAlignment="1">
      <alignment horizontal="center" vertical="center" wrapText="1"/>
    </xf>
    <xf numFmtId="17" fontId="17" fillId="3" borderId="0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Border="1" applyAlignment="1" applyProtection="1">
      <alignment horizontal="center" vertical="center"/>
      <protection locked="0"/>
    </xf>
    <xf numFmtId="0" fontId="17" fillId="4" borderId="0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Border="1" applyAlignment="1" applyProtection="1">
      <alignment horizontal="center" vertical="center"/>
      <protection locked="0"/>
    </xf>
    <xf numFmtId="0" fontId="17" fillId="6" borderId="0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5" fillId="10" borderId="0" xfId="0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wrapText="1"/>
    </xf>
    <xf numFmtId="0" fontId="15" fillId="10" borderId="18" xfId="0" applyFont="1" applyFill="1" applyBorder="1" applyAlignment="1">
      <alignment horizontal="center" vertical="center" wrapText="1"/>
    </xf>
    <xf numFmtId="0" fontId="15" fillId="10" borderId="9" xfId="0" applyFont="1" applyFill="1" applyBorder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  <xf numFmtId="0" fontId="15" fillId="10" borderId="1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19" fillId="10" borderId="1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center" vertical="center" wrapText="1"/>
    </xf>
    <xf numFmtId="0" fontId="19" fillId="10" borderId="4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19" fillId="10" borderId="10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</cellXfs>
  <cellStyles count="16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eutral" xfId="3" builtinId="28"/>
    <cellStyle name="Normal" xfId="0" builtinId="0"/>
    <cellStyle name="Percent" xfId="2" builtinId="5"/>
  </cellStyles>
  <dxfs count="565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.5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auto="1"/>
        </top>
        <bottom style="medium">
          <color auto="1"/>
        </bottom>
      </border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3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4"/>
          <bgColor rgb="FFB6B8BA"/>
        </patternFill>
      </fill>
      <alignment horizontal="center" vertical="center" textRotation="0" wrapText="1" indent="0" justifyLastLine="0" shrinkToFit="0" readingOrder="0"/>
      <protection locked="0" hidden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scheme val="none"/>
      </font>
      <fill>
        <patternFill patternType="solid">
          <fgColor rgb="FF000000"/>
          <bgColor rgb="FF415560"/>
        </patternFill>
      </fill>
      <alignment horizontal="center" vertical="center" textRotation="0" wrapText="1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3" formatCode="0%"/>
      <alignment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medium">
          <color auto="1"/>
        </top>
        <bottom style="medium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Tahoma"/>
        <scheme val="none"/>
      </font>
      <numFmt numFmtId="14" formatCode="0.00%"/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14" formatCode="0.00%"/>
      <fill>
        <patternFill patternType="none">
          <fgColor indexed="64"/>
          <bgColor theme="0"/>
        </patternFill>
      </fill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3" formatCode="#,##0"/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theme="0"/>
        </patternFill>
      </fill>
      <alignment horizontal="general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ahoma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  <protection locked="0" hidden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color theme="0" tint="-0.34998626667073579"/>
      </font>
      <fill>
        <patternFill patternType="solid">
          <fgColor indexed="64"/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solid">
          <fgColor indexed="64"/>
          <bgColor rgb="FFAAF5C3"/>
        </patternFill>
      </fill>
    </dxf>
    <dxf>
      <font>
        <color auto="1"/>
      </font>
      <fill>
        <patternFill patternType="solid">
          <fgColor indexed="64"/>
          <bgColor theme="4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  <dxf>
      <fill>
        <patternFill patternType="solid">
          <fgColor indexed="64"/>
          <bgColor theme="0" tint="-4.9989318521683403E-2"/>
        </patternFill>
      </fill>
    </dxf>
    <dxf>
      <font>
        <color rgb="FF415560"/>
      </font>
      <fill>
        <patternFill>
          <bgColor rgb="FF415560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0" tint="-0.14996795556505021"/>
        </horizontal>
      </border>
    </dxf>
    <dxf>
      <font>
        <color auto="1"/>
      </font>
      <fill>
        <patternFill>
          <bgColor theme="3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ill>
        <patternFill patternType="none">
          <fgColor indexed="64"/>
          <bgColor auto="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theme="2" tint="-9.9948118533890809E-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5" defaultTableStyle="TableStyleMedium2" defaultPivotStyle="PivotStyleLight16">
    <tableStyle name="MySqlDefault" pivot="0" table="0" count="2" xr9:uid="{00000000-0011-0000-FFFF-FFFF00000000}">
      <tableStyleElement type="wholeTable" dxfId="564"/>
      <tableStyleElement type="headerRow" dxfId="563"/>
    </tableStyle>
    <tableStyle name="New IAS" pivot="0" count="2" xr9:uid="{00000000-0011-0000-FFFF-FFFF01000000}">
      <tableStyleElement type="wholeTable" dxfId="562"/>
      <tableStyleElement type="headerRow" dxfId="561"/>
    </tableStyle>
    <tableStyle name="Table Style 1" pivot="0" count="2" xr9:uid="{00000000-0011-0000-FFFF-FFFF02000000}">
      <tableStyleElement type="wholeTable" dxfId="560"/>
      <tableStyleElement type="headerRow" dxfId="559"/>
    </tableStyle>
    <tableStyle name="Table Style 2" pivot="0" count="1" xr9:uid="{00000000-0011-0000-FFFF-FFFF03000000}">
      <tableStyleElement type="wholeTable" dxfId="558"/>
    </tableStyle>
    <tableStyle name="TableStyleLight1 2" pivot="0" count="7" xr9:uid="{00000000-0011-0000-FFFF-FFFF04000000}">
      <tableStyleElement type="wholeTable" dxfId="557"/>
      <tableStyleElement type="headerRow" dxfId="556"/>
      <tableStyleElement type="totalRow" dxfId="555"/>
      <tableStyleElement type="firstColumn" dxfId="554"/>
      <tableStyleElement type="lastColumn" dxfId="553"/>
      <tableStyleElement type="firstRowStripe" dxfId="552"/>
      <tableStyleElement type="firstColumnStripe" dxfId="551"/>
    </tableStyle>
  </tableStyles>
  <colors>
    <mruColors>
      <color rgb="FF415560"/>
      <color rgb="FFB6B8BA"/>
      <color rgb="FFF57B20"/>
      <color rgb="FF455560"/>
      <color rgb="FF0000FF"/>
      <color rgb="FFF47B20"/>
      <color rgb="FF73C167"/>
      <color rgb="FFAAF5C3"/>
      <color rgb="FF9CC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1023936</xdr:colOff>
      <xdr:row>1</xdr:row>
      <xdr:rowOff>119063</xdr:rowOff>
    </xdr:from>
    <xdr:to>
      <xdr:col>2</xdr:col>
      <xdr:colOff>3309941</xdr:colOff>
      <xdr:row>4</xdr:row>
      <xdr:rowOff>17241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717" y="321469"/>
          <a:ext cx="2286005" cy="4815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1071565</xdr:colOff>
      <xdr:row>1</xdr:row>
      <xdr:rowOff>107157</xdr:rowOff>
    </xdr:from>
    <xdr:to>
      <xdr:col>3</xdr:col>
      <xdr:colOff>3357570</xdr:colOff>
      <xdr:row>4</xdr:row>
      <xdr:rowOff>5335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6" y="309563"/>
          <a:ext cx="2286005" cy="4815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1071566</xdr:colOff>
      <xdr:row>1</xdr:row>
      <xdr:rowOff>107155</xdr:rowOff>
    </xdr:from>
    <xdr:to>
      <xdr:col>4</xdr:col>
      <xdr:colOff>3357571</xdr:colOff>
      <xdr:row>4</xdr:row>
      <xdr:rowOff>5333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7" y="309561"/>
          <a:ext cx="2286005" cy="48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1012033</xdr:colOff>
      <xdr:row>1</xdr:row>
      <xdr:rowOff>107158</xdr:rowOff>
    </xdr:from>
    <xdr:to>
      <xdr:col>4</xdr:col>
      <xdr:colOff>1273975</xdr:colOff>
      <xdr:row>4</xdr:row>
      <xdr:rowOff>5336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6814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1047754</xdr:colOff>
      <xdr:row>1</xdr:row>
      <xdr:rowOff>107158</xdr:rowOff>
    </xdr:from>
    <xdr:to>
      <xdr:col>5</xdr:col>
      <xdr:colOff>1309696</xdr:colOff>
      <xdr:row>4</xdr:row>
      <xdr:rowOff>5336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535" y="309564"/>
          <a:ext cx="2286005" cy="4815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488156</xdr:colOff>
      <xdr:row>1</xdr:row>
      <xdr:rowOff>71436</xdr:rowOff>
    </xdr:from>
    <xdr:to>
      <xdr:col>2</xdr:col>
      <xdr:colOff>2774161</xdr:colOff>
      <xdr:row>3</xdr:row>
      <xdr:rowOff>160114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" y="273842"/>
          <a:ext cx="2286005" cy="48158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678656</xdr:colOff>
      <xdr:row>1</xdr:row>
      <xdr:rowOff>71438</xdr:rowOff>
    </xdr:from>
    <xdr:to>
      <xdr:col>3</xdr:col>
      <xdr:colOff>2962280</xdr:colOff>
      <xdr:row>3</xdr:row>
      <xdr:rowOff>157734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" y="273844"/>
          <a:ext cx="2283624" cy="4792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619126</xdr:colOff>
      <xdr:row>1</xdr:row>
      <xdr:rowOff>59532</xdr:rowOff>
    </xdr:from>
    <xdr:to>
      <xdr:col>4</xdr:col>
      <xdr:colOff>2902750</xdr:colOff>
      <xdr:row>3</xdr:row>
      <xdr:rowOff>145828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07" y="261938"/>
          <a:ext cx="2283624" cy="4792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1071562</xdr:colOff>
      <xdr:row>1</xdr:row>
      <xdr:rowOff>107156</xdr:rowOff>
    </xdr:from>
    <xdr:to>
      <xdr:col>4</xdr:col>
      <xdr:colOff>1333504</xdr:colOff>
      <xdr:row>4</xdr:row>
      <xdr:rowOff>5334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343" y="309562"/>
          <a:ext cx="2286005" cy="48158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107156</xdr:colOff>
      <xdr:row>1</xdr:row>
      <xdr:rowOff>119063</xdr:rowOff>
    </xdr:from>
    <xdr:to>
      <xdr:col>1</xdr:col>
      <xdr:colOff>1178718</xdr:colOff>
      <xdr:row>1</xdr:row>
      <xdr:rowOff>344806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719" y="309563"/>
          <a:ext cx="1071562" cy="2257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00000000}" name="DataT" displayName="DataT" ref="B15:AA16" totalsRowShown="0" headerRowDxfId="544" dataDxfId="542" headerRowBorderDxfId="543" dataCellStyle="Percent">
  <autoFilter ref="B15:AA16" xr:uid="{00000000-0009-0000-0100-000021000000}"/>
  <tableColumns count="26">
    <tableColumn id="74" xr3:uid="{00000000-0010-0000-0000-00004A000000}" name="Region (Team)" dataDxfId="541">
      <calculatedColumnFormula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calculatedColumnFormula>
    </tableColumn>
    <tableColumn id="73" xr3:uid="{00000000-0010-0000-0000-000049000000}" name="Team" dataDxfId="540"/>
    <tableColumn id="71" xr3:uid="{00000000-0010-0000-0000-000047000000}" name="Campaign" dataDxfId="539"/>
    <tableColumn id="18" xr3:uid="{00000000-0010-0000-0000-000012000000}" name="Partner" dataDxfId="538"/>
    <tableColumn id="38" xr3:uid="{00000000-0010-0000-0000-000026000000}" name="Placement" dataDxfId="537"/>
    <tableColumn id="122" xr3:uid="{00000000-0010-0000-0000-00007A000000}" name="Device Type" dataDxfId="536"/>
    <tableColumn id="75" xr3:uid="{00000000-0010-0000-0000-00004B000000}" name="Blocking Status" dataDxfId="535"/>
    <tableColumn id="72" xr3:uid="{00000000-0010-0000-0000-000048000000}" name="Measured Impressions" dataDxfId="534" dataCellStyle="Comma"/>
    <tableColumn id="4" xr3:uid="{00000000-0010-0000-0000-000004000000}" name="Total Impressions" dataDxfId="533" dataCellStyle="Comma"/>
    <tableColumn id="5" xr3:uid="{00000000-0010-0000-0000-000005000000}" name="Measured Rate _x000a_[% Measured]" dataDxfId="532" dataCellStyle="Percent"/>
    <tableColumn id="6" xr3:uid="{00000000-0010-0000-0000-000006000000}" name="See-Through Rate _x000a_[% Visible]" dataDxfId="531" dataCellStyle="Percent"/>
    <tableColumn id="77" xr3:uid="{00000000-0010-0000-0000-00004D000000}" name="Brand Safety _x000a_[% Passed]" dataDxfId="530" dataCellStyle="Percent"/>
    <tableColumn id="41" xr3:uid="{00000000-0010-0000-0000-000029000000}" name="Brand Safety _x000a_[% Failed]" dataDxfId="529" dataCellStyle="Percent"/>
    <tableColumn id="60" xr3:uid="{00000000-0010-0000-0000-00003C000000}" name="Brand Safety _x000a_[% Failed by Content]" dataDxfId="528" dataCellStyle="Percent"/>
    <tableColumn id="63" xr3:uid="{00000000-0010-0000-0000-00003F000000}" name="Brand Safety _x000a_[% Failed by Geo]" dataDxfId="527" dataCellStyle="Percent"/>
    <tableColumn id="7" xr3:uid="{00000000-0010-0000-0000-000007000000}" name="Brand Safety _x000a_[% Failed by Keyword]" dataDxfId="526" dataCellStyle="Percent"/>
    <tableColumn id="8" xr3:uid="{00000000-0010-0000-0000-000008000000}" name="Brand Safety _x000a_[% Failed by Blacklist]" dataDxfId="525" dataCellStyle="Percent"/>
    <tableColumn id="9" xr3:uid="{00000000-0010-0000-0000-000009000000}" name="Brand Safety _x000a_[% Failed by Language]" dataDxfId="524" dataCellStyle="Percent"/>
    <tableColumn id="10" xr3:uid="{00000000-0010-0000-0000-00000A000000}" name="Fraud _x000a_[% Fraud]" dataDxfId="523" dataCellStyle="Percent"/>
    <tableColumn id="11" xr3:uid="{00000000-0010-0000-0000-00000B000000}" name="Viewability _x000a_[Total Viewable Rate (Total Net Metrics)]" dataDxfId="522" dataCellStyle="Percent"/>
    <tableColumn id="2" xr3:uid="{00000000-0010-0000-0000-000002000000}" name="Display Viewability _x000a_[Total Viewable Rate (Total Net Metrics)]" dataDxfId="521" dataCellStyle="Percent"/>
    <tableColumn id="78" xr3:uid="{00000000-0010-0000-0000-00004E000000}" name="Video Viewability _x000a_[Total Viewable Rate (Total Net Metrics)]" dataDxfId="520" dataCellStyle="Percent"/>
    <tableColumn id="12" xr3:uid="{00000000-0010-0000-0000-00000C000000}" name="GroupM Viewability _x000a_[% Display Ads Fully in View]" dataDxfId="519" dataCellStyle="Percent"/>
    <tableColumn id="76" xr3:uid="{00000000-0010-0000-0000-00004C000000}" name="GroupM Viewability _x000a_[% Videos Fully in View]" dataDxfId="518" dataCellStyle="Percent"/>
    <tableColumn id="3" xr3:uid="{00000000-0010-0000-0000-000003000000}" name="Publicis Viewability _x000a_[% Display Ads Fully in View]" dataDxfId="517" dataCellStyle="Percent"/>
    <tableColumn id="13" xr3:uid="{00000000-0010-0000-0000-00000D000000}" name="Publicis Viewability _x000a_[% Videos Fully in View]" dataDxfId="516" dataCellStyle="Percent"/>
  </tableColumns>
  <tableStyleInfo name="New IAS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1000000}" name="BenchmarksT" displayName="BenchmarksT" ref="K6:AA13" totalsRowShown="0" headerRowDxfId="515" dataDxfId="514">
  <autoFilter ref="K6:AA13" xr:uid="{00000000-0009-0000-0100-000022000000}"/>
  <tableColumns count="17">
    <tableColumn id="1" xr3:uid="{00000000-0010-0000-0100-000001000000}" name="Measured Rate _x000a_[% Measured]" dataDxfId="513"/>
    <tableColumn id="2" xr3:uid="{00000000-0010-0000-0100-000002000000}" name="See-Through Rate _x000a_[% Visible]" dataDxfId="512"/>
    <tableColumn id="25" xr3:uid="{00000000-0010-0000-0100-000019000000}" name="Brand Safety _x000a_[% Passed]" dataDxfId="511">
      <calculatedColumnFormula array="1">SUM(
(DataT[Brand Safety 
'[% Passed']]&lt;&gt;"NULL")*
DataT[Brand Safety 
'[% Passed']]*SUBTOTAL(9,OFFSET(DataT[Total Impressions],ROW(DataT[Total Impressions])-MIN(ROW(DataT[Total Impressions])),0,1)))
/
SUM(
(DataT[Brand Safety 
'[% Passed']]&lt;&gt;"NULL")*
SUBTOTAL(9,OFFSET(DataT[Total Impressions],ROW(DataT[Total Impressions])-MIN(ROW(DataT[Total Impressions])),0,1)))</calculatedColumnFormula>
    </tableColumn>
    <tableColumn id="23" xr3:uid="{00000000-0010-0000-0100-000017000000}" name="Brand Safety _x000a_[% Failed]" dataDxfId="510"/>
    <tableColumn id="36" xr3:uid="{00000000-0010-0000-0100-000024000000}" name="Brand Safety _x000a_[% Failed by Content]" dataDxfId="509"/>
    <tableColumn id="16" xr3:uid="{00000000-0010-0000-0100-000010000000}" name="Brand Safety _x000a_[% Failed by Geo]" dataDxfId="508"/>
    <tableColumn id="3" xr3:uid="{00000000-0010-0000-0100-000003000000}" name="Brand Safety _x000a_[% Failed by Keyword]" dataDxfId="507"/>
    <tableColumn id="4" xr3:uid="{00000000-0010-0000-0100-000004000000}" name="Brand Safety _x000a_[% Failed by Blacklist]" dataDxfId="506"/>
    <tableColumn id="5" xr3:uid="{00000000-0010-0000-0100-000005000000}" name="Brand Safety _x000a_[% Failed by Language]" dataDxfId="505"/>
    <tableColumn id="6" xr3:uid="{00000000-0010-0000-0100-000006000000}" name="Fraud _x000a_[% Fraud]" dataDxfId="504"/>
    <tableColumn id="7" xr3:uid="{00000000-0010-0000-0100-000007000000}" name="Viewability _x000a_[Total Viewable Rate (Total Net Metrics)]" dataDxfId="503"/>
    <tableColumn id="8" xr3:uid="{00000000-0010-0000-0100-000008000000}" name="Display Viewability _x000a_[Total Viewable Rate (Total Net Metrics)]" dataDxfId="502"/>
    <tableColumn id="26" xr3:uid="{00000000-0010-0000-0100-00001A000000}" name="Video Viewability _x000a_[Total Viewable Rate (Total Net Metrics)]" dataDxfId="501">
      <calculatedColumnFormula array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calculatedColumnFormula>
    </tableColumn>
    <tableColumn id="9" xr3:uid="{00000000-0010-0000-0100-000009000000}" name="GroupM Viewability _x000a_[% Display Ads Fully in View]" dataDxfId="500"/>
    <tableColumn id="24" xr3:uid="{00000000-0010-0000-0100-000018000000}" name="GroupM Viewability _x000a_[% Videos Fully in View]" dataDxfId="499"/>
    <tableColumn id="10" xr3:uid="{00000000-0010-0000-0100-00000A000000}" name="Publicis Viewability _x000a_[% Display Ads Fully in View]" dataDxfId="498"/>
    <tableColumn id="11" xr3:uid="{00000000-0010-0000-0100-00000B000000}" name="Publicis Viewability _x000a_[% Videos Fully in View]" dataDxfId="497"/>
  </tableColumns>
  <tableStyleInfo name="New IA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2000000}" name="ColumnT" displayName="ColumnT" ref="J6:J13" totalsRowShown="0" headerRowDxfId="496" dataDxfId="494" headerRowBorderDxfId="495" tableBorderDxfId="493">
  <autoFilter ref="J6:J13" xr:uid="{00000000-0009-0000-0100-000023000000}"/>
  <tableColumns count="1">
    <tableColumn id="1" xr3:uid="{00000000-0010-0000-0200-000001000000}" name="Metric" dataDxfId="492"/>
  </tableColumns>
  <tableStyleInfo name="New IAS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DataC" displayName="DataC" ref="B15:AA30" totalsRowShown="0" headerRowDxfId="483" dataDxfId="481" headerRowBorderDxfId="482" dataCellStyle="Percent">
  <autoFilter ref="B15:AA30" xr:uid="{00000000-0009-0000-0100-000005000000}"/>
  <tableColumns count="26">
    <tableColumn id="74" xr3:uid="{00000000-0010-0000-0300-00004A000000}" name="Brand" dataDxfId="480"/>
    <tableColumn id="73" xr3:uid="{00000000-0010-0000-0300-000049000000}" name="Team" dataDxfId="479"/>
    <tableColumn id="71" xr3:uid="{00000000-0010-0000-0300-000047000000}" name="Campaign" dataDxfId="478"/>
    <tableColumn id="18" xr3:uid="{00000000-0010-0000-0300-000012000000}" name="Partner" dataDxfId="477"/>
    <tableColumn id="38" xr3:uid="{00000000-0010-0000-0300-000026000000}" name="Placement" dataDxfId="476"/>
    <tableColumn id="122" xr3:uid="{00000000-0010-0000-0300-00007A000000}" name="Device Type" dataDxfId="475"/>
    <tableColumn id="75" xr3:uid="{00000000-0010-0000-0300-00004B000000}" name="Blocking Status" dataDxfId="474"/>
    <tableColumn id="72" xr3:uid="{00000000-0010-0000-0300-000048000000}" name="Measured Impressions" dataDxfId="473" dataCellStyle="Comma"/>
    <tableColumn id="4" xr3:uid="{00000000-0010-0000-0300-000004000000}" name="Total Impressions" dataDxfId="472" dataCellStyle="Comma"/>
    <tableColumn id="5" xr3:uid="{00000000-0010-0000-0300-000005000000}" name="Measured Rate _x000a_[% Measured]" dataDxfId="471" dataCellStyle="Percent"/>
    <tableColumn id="6" xr3:uid="{00000000-0010-0000-0300-000006000000}" name="See-Through Rate _x000a_[% Visible]" dataDxfId="470" dataCellStyle="Percent"/>
    <tableColumn id="77" xr3:uid="{00000000-0010-0000-0300-00004D000000}" name="Brand Safety _x000a_[% Passed]" dataDxfId="469" dataCellStyle="Percent"/>
    <tableColumn id="41" xr3:uid="{00000000-0010-0000-0300-000029000000}" name="Brand Safety _x000a_[% Failed]" dataDxfId="468" dataCellStyle="Percent"/>
    <tableColumn id="60" xr3:uid="{00000000-0010-0000-0300-00003C000000}" name="Brand Safety _x000a_[% Failed by Content]" dataDxfId="467" dataCellStyle="Percent"/>
    <tableColumn id="63" xr3:uid="{00000000-0010-0000-0300-00003F000000}" name="Brand Safety _x000a_[% Failed by Geo]" dataDxfId="466" dataCellStyle="Percent"/>
    <tableColumn id="7" xr3:uid="{00000000-0010-0000-0300-000007000000}" name="Brand Safety _x000a_[% Failed by Keyword]" dataDxfId="465" dataCellStyle="Percent"/>
    <tableColumn id="8" xr3:uid="{00000000-0010-0000-0300-000008000000}" name="Brand Safety _x000a_[% Failed by Blacklist]" dataDxfId="464" dataCellStyle="Percent"/>
    <tableColumn id="9" xr3:uid="{00000000-0010-0000-0300-000009000000}" name="Brand Safety _x000a_[% Failed by Language]" dataDxfId="463" dataCellStyle="Percent"/>
    <tableColumn id="10" xr3:uid="{00000000-0010-0000-0300-00000A000000}" name="Fraud _x000a_[% Fraud]" dataDxfId="462" dataCellStyle="Percent"/>
    <tableColumn id="11" xr3:uid="{00000000-0010-0000-0300-00000B000000}" name="Viewability _x000a_[Total Viewable Rate (Total Net Metrics)]" dataDxfId="461" dataCellStyle="Percent"/>
    <tableColumn id="2" xr3:uid="{00000000-0010-0000-0300-000002000000}" name="Display Viewability _x000a_[Total Viewable Rate (Total Net Metrics)]" dataDxfId="460" dataCellStyle="Percent"/>
    <tableColumn id="78" xr3:uid="{00000000-0010-0000-0300-00004E000000}" name="Video Viewability _x000a_[Total Viewable Rate (Total Net Metrics)]" dataDxfId="459" dataCellStyle="Percent"/>
    <tableColumn id="12" xr3:uid="{00000000-0010-0000-0300-00000C000000}" name="GroupM Viewability _x000a_[% Display Ads Fully in View]" dataDxfId="458" dataCellStyle="Percent"/>
    <tableColumn id="76" xr3:uid="{00000000-0010-0000-0300-00004C000000}" name="GroupM Viewability _x000a_[% Videos Fully in View]" dataDxfId="457" dataCellStyle="Percent"/>
    <tableColumn id="3" xr3:uid="{00000000-0010-0000-0300-000003000000}" name="Publicis Viewability _x000a_[% Display Ads Fully in View]" dataDxfId="456" dataCellStyle="Percent"/>
    <tableColumn id="13" xr3:uid="{00000000-0010-0000-0300-00000D000000}" name="Publicis Viewability _x000a_[% Videos Fully in View]" dataDxfId="455" dataCellStyle="Percent"/>
  </tableColumns>
  <tableStyleInfo name="New IA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BenchmarksC" displayName="BenchmarksC" ref="K6:AA13" totalsRowShown="0" headerRowDxfId="454" dataDxfId="453">
  <autoFilter ref="K6:AA13" xr:uid="{00000000-0009-0000-0100-000006000000}"/>
  <tableColumns count="17">
    <tableColumn id="1" xr3:uid="{00000000-0010-0000-0400-000001000000}" name="Measured Rate _x000a_[% Measured]" dataDxfId="452"/>
    <tableColumn id="2" xr3:uid="{00000000-0010-0000-0400-000002000000}" name="See-Through Rate _x000a_[% Visible]" dataDxfId="451"/>
    <tableColumn id="25" xr3:uid="{00000000-0010-0000-0400-000019000000}" name="Brand Safety _x000a_[% Passed]" dataDxfId="450">
      <calculatedColumnFormula array="1">SUM(
(DataC[Brand Safety 
'[% Passed']]&lt;&gt;"NULL")*
DataC[Brand Safety 
'[% Passed']]*SUBTOTAL(9,OFFSET(DataC[Total Impressions],ROW(DataC[Total Impressions])-MIN(ROW(DataC[Total Impressions])),0,1)))
/
SUM(
(DataC[Brand Safety 
'[% Passed']]&lt;&gt;"NULL")*
SUBTOTAL(9,OFFSET(DataC[Total Impressions],ROW(DataC[Total Impressions])-MIN(ROW(DataC[Total Impressions])),0,1)))</calculatedColumnFormula>
    </tableColumn>
    <tableColumn id="23" xr3:uid="{00000000-0010-0000-0400-000017000000}" name="Brand Safety _x000a_[% Failed]" dataDxfId="449"/>
    <tableColumn id="36" xr3:uid="{00000000-0010-0000-0400-000024000000}" name="Brand Safety _x000a_[% Failed by Content]" dataDxfId="448"/>
    <tableColumn id="16" xr3:uid="{00000000-0010-0000-0400-000010000000}" name="Brand Safety _x000a_[% Failed by Geo]" dataDxfId="447"/>
    <tableColumn id="3" xr3:uid="{00000000-0010-0000-0400-000003000000}" name="Brand Safety _x000a_[% Failed by Keyword]" dataDxfId="446"/>
    <tableColumn id="4" xr3:uid="{00000000-0010-0000-0400-000004000000}" name="Brand Safety _x000a_[% Failed by Blacklist]" dataDxfId="445"/>
    <tableColumn id="5" xr3:uid="{00000000-0010-0000-0400-000005000000}" name="Brand Safety _x000a_[% Failed by Language]" dataDxfId="444"/>
    <tableColumn id="6" xr3:uid="{00000000-0010-0000-0400-000006000000}" name="Fraud _x000a_[% Fraud]" dataDxfId="443"/>
    <tableColumn id="7" xr3:uid="{00000000-0010-0000-0400-000007000000}" name="Viewability _x000a_[Total Viewable Rate (Total Net Metrics)]" dataDxfId="442"/>
    <tableColumn id="8" xr3:uid="{00000000-0010-0000-0400-000008000000}" name="Display Viewability _x000a_[Total Viewable Rate (Total Net Metrics)]" dataDxfId="441"/>
    <tableColumn id="26" xr3:uid="{00000000-0010-0000-0400-00001A000000}" name="Video Viewability _x000a_[Total Viewable Rate (Total Net Metrics)]" dataDxfId="440">
      <calculatedColumnFormula array="1">SUM(
IF(DataC[Video Viewability 
'[Total Viewable Rate (Total Net Metrics)']]&lt;&gt;"NULL",
IF(DataC[Brand]=#REF!,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IF(DataC[Brand]=#REF!,
SUBTOTAL(9,OFFSET(DataC[Total Impressions],ROW(DataC[Total Impressions])-MIN(ROW(DataC[Total Impressions])),0,1)))))</calculatedColumnFormula>
    </tableColumn>
    <tableColumn id="9" xr3:uid="{00000000-0010-0000-0400-000009000000}" name="GroupM Viewability _x000a_[% Display Ads Fully in View]" dataDxfId="439"/>
    <tableColumn id="24" xr3:uid="{00000000-0010-0000-0400-000018000000}" name="GroupM Viewability _x000a_[% Videos Fully in View]" dataDxfId="438"/>
    <tableColumn id="10" xr3:uid="{00000000-0010-0000-0400-00000A000000}" name="Publicis Viewability _x000a_[% Display Ads Fully in View]" dataDxfId="437"/>
    <tableColumn id="11" xr3:uid="{00000000-0010-0000-0400-00000B000000}" name="Publicis Viewability _x000a_[% Videos Fully in View]" dataDxfId="436"/>
  </tableColumns>
  <tableStyleInfo name="New IAS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05000000}" name="ColumnC" displayName="ColumnC" ref="J6:J13" totalsRowShown="0" headerRowDxfId="435" dataDxfId="433" headerRowBorderDxfId="434" tableBorderDxfId="432">
  <autoFilter ref="J6:J13" xr:uid="{00000000-0009-0000-0100-000024000000}"/>
  <tableColumns count="1">
    <tableColumn id="1" xr3:uid="{00000000-0010-0000-0500-000001000000}" name="Metric" dataDxfId="431"/>
  </tableColumns>
  <tableStyleInfo name="New IAS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DataP" displayName="DataP" ref="B15:AA30" totalsRowShown="0" headerRowDxfId="423" dataDxfId="421" headerRowBorderDxfId="422" dataCellStyle="Percent">
  <autoFilter ref="B15:AA30" xr:uid="{00000000-0009-0000-0100-000001000000}"/>
  <tableColumns count="26">
    <tableColumn id="74" xr3:uid="{00000000-0010-0000-0600-00004A000000}" name="Partner Type" dataDxfId="420"/>
    <tableColumn id="73" xr3:uid="{00000000-0010-0000-0600-000049000000}" name="Team" dataDxfId="419"/>
    <tableColumn id="71" xr3:uid="{00000000-0010-0000-0600-000047000000}" name="Campaign" dataDxfId="418"/>
    <tableColumn id="18" xr3:uid="{00000000-0010-0000-0600-000012000000}" name="Partner" dataDxfId="417"/>
    <tableColumn id="38" xr3:uid="{00000000-0010-0000-0600-000026000000}" name="Placement" dataDxfId="416"/>
    <tableColumn id="121" xr3:uid="{00000000-0010-0000-0600-000079000000}" name="Device Type" dataDxfId="415"/>
    <tableColumn id="75" xr3:uid="{00000000-0010-0000-0600-00004B000000}" name="Blocking Status" dataDxfId="414"/>
    <tableColumn id="72" xr3:uid="{00000000-0010-0000-0600-000048000000}" name="Measured Impressions" dataDxfId="413" dataCellStyle="Comma"/>
    <tableColumn id="4" xr3:uid="{00000000-0010-0000-0600-000004000000}" name="Total Impressions" dataDxfId="412" dataCellStyle="Comma"/>
    <tableColumn id="5" xr3:uid="{00000000-0010-0000-0600-000005000000}" name="Measured Rate _x000a_[% Measured]" dataDxfId="411" dataCellStyle="Percent"/>
    <tableColumn id="6" xr3:uid="{00000000-0010-0000-0600-000006000000}" name="See-Through Rate _x000a_[% Visible]" dataDxfId="410" dataCellStyle="Percent"/>
    <tableColumn id="77" xr3:uid="{00000000-0010-0000-0600-00004D000000}" name="Brand Safety _x000a_[% Passed]" dataDxfId="409" dataCellStyle="Percent"/>
    <tableColumn id="41" xr3:uid="{00000000-0010-0000-0600-000029000000}" name="Brand Safety _x000a_[% Failed]" dataDxfId="408" dataCellStyle="Percent"/>
    <tableColumn id="60" xr3:uid="{00000000-0010-0000-0600-00003C000000}" name="Brand Safety _x000a_[% Failed by Content]" dataDxfId="407" dataCellStyle="Percent"/>
    <tableColumn id="63" xr3:uid="{00000000-0010-0000-0600-00003F000000}" name="Brand Safety _x000a_[% Failed by Geo]" dataDxfId="406" dataCellStyle="Percent"/>
    <tableColumn id="7" xr3:uid="{00000000-0010-0000-0600-000007000000}" name="Brand Safety _x000a_[% Failed by Keyword]" dataDxfId="405" dataCellStyle="Percent"/>
    <tableColumn id="8" xr3:uid="{00000000-0010-0000-0600-000008000000}" name="Brand Safety _x000a_[% Failed by Blacklist]" dataDxfId="404" dataCellStyle="Percent"/>
    <tableColumn id="9" xr3:uid="{00000000-0010-0000-0600-000009000000}" name="Brand Safety _x000a_[% Failed by Language]" dataDxfId="403" dataCellStyle="Percent"/>
    <tableColumn id="10" xr3:uid="{00000000-0010-0000-0600-00000A000000}" name="Fraud _x000a_[% Fraud]" dataDxfId="402" dataCellStyle="Percent"/>
    <tableColumn id="11" xr3:uid="{00000000-0010-0000-0600-00000B000000}" name="Viewability _x000a_[Total Viewable Rate (Total Net Metrics)]" dataDxfId="401" dataCellStyle="Percent"/>
    <tableColumn id="2" xr3:uid="{00000000-0010-0000-0600-000002000000}" name="Display Viewability _x000a_[Total Viewable Rate (Total Net Metrics)]" dataDxfId="400" dataCellStyle="Percent"/>
    <tableColumn id="78" xr3:uid="{00000000-0010-0000-0600-00004E000000}" name="Video Viewability _x000a_[Total Viewable Rate (Total Net Metrics)]" dataDxfId="399" dataCellStyle="Percent"/>
    <tableColumn id="12" xr3:uid="{00000000-0010-0000-0600-00000C000000}" name="GroupM Viewability _x000a_[% Display Ads Fully in View]" dataDxfId="398" dataCellStyle="Percent"/>
    <tableColumn id="76" xr3:uid="{00000000-0010-0000-0600-00004C000000}" name="GroupM Viewability _x000a_[% Videos Fully in View]" dataDxfId="397" dataCellStyle="Percent"/>
    <tableColumn id="3" xr3:uid="{00000000-0010-0000-0600-000003000000}" name="Publicis Viewability _x000a_[% Display Ads Fully in View]" dataDxfId="396" dataCellStyle="Percent"/>
    <tableColumn id="13" xr3:uid="{00000000-0010-0000-0600-00000D000000}" name="Publicis Viewability _x000a_[% Videos Fully in View]" dataDxfId="395" dataCellStyle="Percent"/>
  </tableColumns>
  <tableStyleInfo name="New IAS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7000000}" name="BenchmarksP" displayName="BenchmarksP" ref="K6:AA13" totalsRowShown="0" headerRowDxfId="394" dataDxfId="393">
  <autoFilter ref="K6:AA13" xr:uid="{00000000-0009-0000-0100-000002000000}"/>
  <tableColumns count="17">
    <tableColumn id="1" xr3:uid="{00000000-0010-0000-0700-000001000000}" name="Measured Rate _x000a_[% Measured]" dataDxfId="392"/>
    <tableColumn id="2" xr3:uid="{00000000-0010-0000-0700-000002000000}" name="See-Through Rate _x000a_[% Visible]" dataDxfId="391"/>
    <tableColumn id="25" xr3:uid="{00000000-0010-0000-0700-000019000000}" name="Brand Safety _x000a_[% Passed]" dataDxfId="390">
      <calculatedColumnFormula array="1">SUM(
(DataP[Brand Safety 
'[% Passed']]&lt;&gt;"NULL")*
DataP[Brand Safety 
'[% Passed']]*SUBTOTAL(9,OFFSET(DataP[Total Impressions],ROW(DataP[Total Impressions])-MIN(ROW(DataP[Total Impressions])),0,1)))
/
SUM(
(DataP[Brand Safety 
'[% Passed']]&lt;&gt;"NULL")*
SUBTOTAL(9,OFFSET(DataP[Total Impressions],ROW(DataP[Total Impressions])-MIN(ROW(DataP[Total Impressions])),0,1)))</calculatedColumnFormula>
    </tableColumn>
    <tableColumn id="16" xr3:uid="{00000000-0010-0000-0700-000010000000}" name="Brand Safety _x000a_[% Failed]" dataDxfId="389"/>
    <tableColumn id="23" xr3:uid="{00000000-0010-0000-0700-000017000000}" name="Brand Safety _x000a_[% Failed by Content]" dataDxfId="388"/>
    <tableColumn id="36" xr3:uid="{00000000-0010-0000-0700-000024000000}" name="Brand Safety _x000a_[% Failed by Geo]" dataDxfId="387"/>
    <tableColumn id="3" xr3:uid="{00000000-0010-0000-0700-000003000000}" name="Brand Safety _x000a_[% Failed by Keyword]" dataDxfId="386"/>
    <tableColumn id="4" xr3:uid="{00000000-0010-0000-0700-000004000000}" name="Brand Safety _x000a_[% Failed by Blacklist]" dataDxfId="385"/>
    <tableColumn id="5" xr3:uid="{00000000-0010-0000-0700-000005000000}" name="Brand Safety _x000a_[% Failed by Language]" dataDxfId="384"/>
    <tableColumn id="6" xr3:uid="{00000000-0010-0000-0700-000006000000}" name="Fraud _x000a_[% Fraud]" dataDxfId="383"/>
    <tableColumn id="7" xr3:uid="{00000000-0010-0000-0700-000007000000}" name="Viewability _x000a_[Total Viewable Rate (Total Net Metrics)]" dataDxfId="382"/>
    <tableColumn id="8" xr3:uid="{00000000-0010-0000-0700-000008000000}" name="Display Viewability _x000a_[Total Viewable Rate (Total Net Metrics)]" dataDxfId="381"/>
    <tableColumn id="26" xr3:uid="{00000000-0010-0000-0700-00001A000000}" name="Video Viewability _x000a_[Total Viewable Rate (Total Net Metrics)]" dataDxfId="380">
      <calculatedColumnFormula array="1">SUM(
IF(DataP[Video Viewability 
'[Total Viewable Rate (Total Net Metrics)']]&lt;&gt;"NULL",
IF(DataP[Partner Type]=#REF!,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Type]=#REF!,
SUBTOTAL(9,OFFSET(DataP[Total Impressions],ROW(DataP[Total Impressions])-MIN(ROW(DataP[Total Impressions])),0,1)))))</calculatedColumnFormula>
    </tableColumn>
    <tableColumn id="9" xr3:uid="{00000000-0010-0000-0700-000009000000}" name="GroupM Viewability _x000a_[% Display Ads Fully in View]" dataDxfId="379"/>
    <tableColumn id="24" xr3:uid="{00000000-0010-0000-0700-000018000000}" name="GroupM Viewability _x000a_[% Videos Fully in View]" dataDxfId="378"/>
    <tableColumn id="10" xr3:uid="{00000000-0010-0000-0700-00000A000000}" name="Publicis Viewability _x000a_[% Display Ads Fully in View]" dataDxfId="377"/>
    <tableColumn id="11" xr3:uid="{00000000-0010-0000-0700-00000B000000}" name="Publicis Viewability _x000a_[% Videos Fully in View]" dataDxfId="376"/>
  </tableColumns>
  <tableStyleInfo name="New IAS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8000000}" name="ColumnP" displayName="ColumnP" ref="J6:J13" totalsRowShown="0" headerRowDxfId="375" dataDxfId="373" headerRowBorderDxfId="374" tableBorderDxfId="372">
  <autoFilter ref="J6:J13" xr:uid="{00000000-0009-0000-0100-000025000000}"/>
  <tableColumns count="1">
    <tableColumn id="1" xr3:uid="{00000000-0010-0000-0800-000001000000}" name="Metric" dataDxfId="371"/>
  </tableColumns>
  <tableStyleInfo name="New IAS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DataCP" displayName="DataCP" ref="B15:AA16" totalsRowShown="0" headerRowDxfId="363" dataDxfId="361" headerRowBorderDxfId="362" dataCellStyle="Percent">
  <autoFilter ref="B15:AA16" xr:uid="{00000000-0009-0000-0100-000008000000}"/>
  <tableColumns count="26">
    <tableColumn id="74" xr3:uid="{00000000-0010-0000-0900-00004A000000}" name="Brand" dataDxfId="360">
      <calculatedColumnFormula>IFERROR(
IF(DataT[[#Headers],[Region (Team)]]="Brand",VLOOKUP(DataCP[[#This Row],[Campaign]],Map_Campaign[],2,0),
IF(DataT[[#Headers],[Region (Team)]]="Region (Team)",VLOOKUP(DataCP[[#This Row],[Team]],Map_Team[],2,0),
IF(DataT[[#Headers],[Region (Team)]]="Region (Campaign)",VLOOKUP(DataCP[[#This Row],[Campaign]],Map_Campaign[],3,0),
IF(DataT[[#Headers],[Region (Team)]]="Partner Type",VLOOKUP(DataCP[[#This Row],[Partner]],Map_Partner[],2,0),
IF(DataT[[#Headers],[Region (Team)]]="Device Type",VLOOKUP(DataCP[[#This Row],[Placement]],Map_Placement[],3,0),
IF(DataT[[#Headers],[Region (Team)]]="Creative Size",VLOOKUP(DataCP[[#This Row],[Placement]],Map_Placement[],2,0),"Not a mapping option.")))))),
"[Unmapped]")</calculatedColumnFormula>
    </tableColumn>
    <tableColumn id="73" xr3:uid="{00000000-0010-0000-0900-000049000000}" name="Team" dataDxfId="359"/>
    <tableColumn id="71" xr3:uid="{00000000-0010-0000-0900-000047000000}" name="Campaign" dataDxfId="358"/>
    <tableColumn id="18" xr3:uid="{00000000-0010-0000-0900-000012000000}" name="Partner" dataDxfId="357"/>
    <tableColumn id="38" xr3:uid="{00000000-0010-0000-0900-000026000000}" name="Placement" dataDxfId="356"/>
    <tableColumn id="122" xr3:uid="{00000000-0010-0000-0900-00007A000000}" name="Device Type" dataDxfId="355"/>
    <tableColumn id="75" xr3:uid="{00000000-0010-0000-0900-00004B000000}" name="Blocking Status" dataDxfId="354"/>
    <tableColumn id="72" xr3:uid="{00000000-0010-0000-0900-000048000000}" name="Measured Impressions" dataDxfId="353" dataCellStyle="Comma"/>
    <tableColumn id="4" xr3:uid="{00000000-0010-0000-0900-000004000000}" name="Total Impressions" dataDxfId="352" dataCellStyle="Comma"/>
    <tableColumn id="5" xr3:uid="{00000000-0010-0000-0900-000005000000}" name="Measured Rate _x000a_[% Measured]" dataDxfId="351" dataCellStyle="Percent"/>
    <tableColumn id="6" xr3:uid="{00000000-0010-0000-0900-000006000000}" name="See-Through Rate _x000a_[% Visible]" dataDxfId="350" dataCellStyle="Percent"/>
    <tableColumn id="77" xr3:uid="{00000000-0010-0000-0900-00004D000000}" name="Brand Safety _x000a_[% Passed]" dataDxfId="349" dataCellStyle="Percent"/>
    <tableColumn id="41" xr3:uid="{00000000-0010-0000-0900-000029000000}" name="Brand Safety _x000a_[% Failed]" dataDxfId="348" dataCellStyle="Percent"/>
    <tableColumn id="60" xr3:uid="{00000000-0010-0000-0900-00003C000000}" name="Brand Safety _x000a_[% Failed by Content]" dataDxfId="347" dataCellStyle="Percent"/>
    <tableColumn id="63" xr3:uid="{00000000-0010-0000-0900-00003F000000}" name="Brand Safety _x000a_[% Failed by Geo]" dataDxfId="346" dataCellStyle="Percent"/>
    <tableColumn id="7" xr3:uid="{00000000-0010-0000-0900-000007000000}" name="Brand Safety _x000a_[% Failed by Keyword]" dataDxfId="345" dataCellStyle="Percent"/>
    <tableColumn id="8" xr3:uid="{00000000-0010-0000-0900-000008000000}" name="Brand Safety _x000a_[% Failed by Blacklist]" dataDxfId="344" dataCellStyle="Percent"/>
    <tableColumn id="9" xr3:uid="{00000000-0010-0000-0900-000009000000}" name="Brand Safety _x000a_[% Failed by Language]" dataDxfId="343" dataCellStyle="Percent"/>
    <tableColumn id="10" xr3:uid="{00000000-0010-0000-0900-00000A000000}" name="Fraud _x000a_[% Fraud]" dataDxfId="342" dataCellStyle="Percent"/>
    <tableColumn id="11" xr3:uid="{00000000-0010-0000-0900-00000B000000}" name="Viewability _x000a_[Total Viewable Rate (Total Net Metrics)]" dataDxfId="341" dataCellStyle="Percent"/>
    <tableColumn id="2" xr3:uid="{00000000-0010-0000-0900-000002000000}" name="Display Viewability _x000a_[Total Viewable Rate (Total Net Metrics)]" dataDxfId="340" dataCellStyle="Percent"/>
    <tableColumn id="78" xr3:uid="{00000000-0010-0000-0900-00004E000000}" name="Video Viewability _x000a_[Total Viewable Rate (Total Net Metrics)]" dataDxfId="339" dataCellStyle="Percent"/>
    <tableColumn id="12" xr3:uid="{00000000-0010-0000-0900-00000C000000}" name="GroupM Viewability _x000a_[% Display Ads Fully in View]" dataDxfId="338" dataCellStyle="Percent"/>
    <tableColumn id="76" xr3:uid="{00000000-0010-0000-0900-00004C000000}" name="GroupM Viewability _x000a_[% Videos Fully in View]" dataDxfId="337" dataCellStyle="Percent"/>
    <tableColumn id="3" xr3:uid="{00000000-0010-0000-0900-000003000000}" name="Publicis Viewability _x000a_[% Display Ads Fully in View]" dataDxfId="336" dataCellStyle="Percent"/>
    <tableColumn id="13" xr3:uid="{00000000-0010-0000-0900-00000D000000}" name="Publicis Viewability _x000a_[% Videos Fully in View]" dataDxfId="335" dataCellStyle="Percent"/>
  </tableColumns>
  <tableStyleInfo name="New IAS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enchmarksCP" displayName="BenchmarksCP" ref="K6:AA13" totalsRowShown="0" headerRowDxfId="334" dataDxfId="333">
  <autoFilter ref="K6:AA13" xr:uid="{00000000-0009-0000-0100-00000A000000}"/>
  <tableColumns count="17">
    <tableColumn id="1" xr3:uid="{00000000-0010-0000-0A00-000001000000}" name="Measured Rate _x000a_[% Measured]" dataDxfId="332"/>
    <tableColumn id="2" xr3:uid="{00000000-0010-0000-0A00-000002000000}" name="See-Through Rate _x000a_[% Visible]" dataDxfId="331"/>
    <tableColumn id="25" xr3:uid="{00000000-0010-0000-0A00-000019000000}" name="Brand Safety _x000a_[% Passed]" dataDxfId="330">
      <calculatedColumnFormula array="1">SUM(
(DataCP[Brand Safety 
'[% Passed']]&lt;&gt;"NULL")*
DataCP[Brand Safety 
'[% Passed']]*SUBTOTAL(9,OFFSET(DataCP[Total Impressions],ROW(DataCP[Total Impressions])-MIN(ROW(DataCP[Total Impressions])),0,1)))
/
SUM(
(DataCP[Brand Safety 
'[% Passed']]&lt;&gt;"NULL")*
SUBTOTAL(9,OFFSET(DataCP[Total Impressions],ROW(DataCP[Total Impressions])-MIN(ROW(DataCP[Total Impressions])),0,1)))</calculatedColumnFormula>
    </tableColumn>
    <tableColumn id="23" xr3:uid="{00000000-0010-0000-0A00-000017000000}" name="Brand Safety _x000a_[% Failed]" dataDxfId="329"/>
    <tableColumn id="36" xr3:uid="{00000000-0010-0000-0A00-000024000000}" name="Brand Safety _x000a_[% Failed by Content]" dataDxfId="328"/>
    <tableColumn id="16" xr3:uid="{00000000-0010-0000-0A00-000010000000}" name="Brand Safety _x000a_[% Failed by Geo]" dataDxfId="327"/>
    <tableColumn id="3" xr3:uid="{00000000-0010-0000-0A00-000003000000}" name="Brand Safety _x000a_[% Failed by Keyword]" dataDxfId="326"/>
    <tableColumn id="4" xr3:uid="{00000000-0010-0000-0A00-000004000000}" name="Brand Safety _x000a_[% Failed by Blacklist]" dataDxfId="325"/>
    <tableColumn id="5" xr3:uid="{00000000-0010-0000-0A00-000005000000}" name="Brand Safety _x000a_[% Failed by Language]" dataDxfId="324"/>
    <tableColumn id="6" xr3:uid="{00000000-0010-0000-0A00-000006000000}" name="Fraud _x000a_[% Fraud]" dataDxfId="323"/>
    <tableColumn id="7" xr3:uid="{00000000-0010-0000-0A00-000007000000}" name="Viewability _x000a_[Total Viewable Rate (Total Net Metrics)]" dataDxfId="322"/>
    <tableColumn id="8" xr3:uid="{00000000-0010-0000-0A00-000008000000}" name="Display Viewability _x000a_[Total Viewable Rate (Total Net Metrics)]" dataDxfId="321"/>
    <tableColumn id="26" xr3:uid="{00000000-0010-0000-0A00-00001A000000}" name="Video Viewability _x000a_[Total Viewable Rate (Total Net Metrics)]" dataDxfId="320">
      <calculatedColumnFormula array="1">SUM(
IF(DataCP[Video Viewability 
'[Total Viewable Rate (Total Net Metrics)']]&lt;&gt;"NULL",
IF(DataCP[Brand]=#REF!,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IF(DataCP[Brand]=#REF!,
SUBTOTAL(9,OFFSET(DataCP[Total Impressions],ROW(DataCP[Total Impressions])-MIN(ROW(DataCP[Total Impressions])),0,1)))))</calculatedColumnFormula>
    </tableColumn>
    <tableColumn id="9" xr3:uid="{00000000-0010-0000-0A00-000009000000}" name="GroupM Viewability _x000a_[% Display Ads Fully in View]" dataDxfId="319"/>
    <tableColumn id="24" xr3:uid="{00000000-0010-0000-0A00-000018000000}" name="GroupM Viewability _x000a_[% Videos Fully in View]" dataDxfId="318"/>
    <tableColumn id="10" xr3:uid="{00000000-0010-0000-0A00-00000A000000}" name="Publicis Viewability _x000a_[% Display Ads Fully in View]" dataDxfId="317"/>
    <tableColumn id="11" xr3:uid="{00000000-0010-0000-0A00-00000B000000}" name="Publicis Viewability _x000a_[% Videos Fully in View]" dataDxfId="316"/>
  </tableColumns>
  <tableStyleInfo name="New IAS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B000000}" name="ColumnCP" displayName="ColumnCP" ref="J6:J13" totalsRowShown="0" headerRowDxfId="315" dataDxfId="313" headerRowBorderDxfId="314" tableBorderDxfId="312">
  <autoFilter ref="J6:J13" xr:uid="{00000000-0009-0000-0100-000026000000}"/>
  <tableColumns count="1">
    <tableColumn id="1" xr3:uid="{00000000-0010-0000-0B00-000001000000}" name="Metric" dataDxfId="311"/>
  </tableColumns>
  <tableStyleInfo name="New IAS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DataPP" displayName="DataPP" ref="B15:AA16" totalsRowShown="0" headerRowDxfId="303" dataDxfId="301" headerRowBorderDxfId="302" dataCellStyle="Percent">
  <autoFilter ref="B15:AA16" xr:uid="{00000000-0009-0000-0100-00000C000000}"/>
  <tableColumns count="26">
    <tableColumn id="74" xr3:uid="{00000000-0010-0000-0C00-00004A000000}" name="Partner Type" dataDxfId="300">
      <calculatedColumnFormula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calculatedColumnFormula>
    </tableColumn>
    <tableColumn id="73" xr3:uid="{00000000-0010-0000-0C00-000049000000}" name="Team" dataDxfId="299"/>
    <tableColumn id="71" xr3:uid="{00000000-0010-0000-0C00-000047000000}" name="Campaign" dataDxfId="298"/>
    <tableColumn id="18" xr3:uid="{00000000-0010-0000-0C00-000012000000}" name="Partner" dataDxfId="297"/>
    <tableColumn id="38" xr3:uid="{00000000-0010-0000-0C00-000026000000}" name="Placement" dataDxfId="296"/>
    <tableColumn id="122" xr3:uid="{00000000-0010-0000-0C00-00007A000000}" name="Device Type" dataDxfId="295"/>
    <tableColumn id="75" xr3:uid="{00000000-0010-0000-0C00-00004B000000}" name="Blocking Status" dataDxfId="294"/>
    <tableColumn id="72" xr3:uid="{00000000-0010-0000-0C00-000048000000}" name="Measured Impressions" dataDxfId="293" dataCellStyle="Comma"/>
    <tableColumn id="4" xr3:uid="{00000000-0010-0000-0C00-000004000000}" name="Total Impressions" dataDxfId="292" dataCellStyle="Comma"/>
    <tableColumn id="5" xr3:uid="{00000000-0010-0000-0C00-000005000000}" name="Measured Rate _x000a_[% Measured]" dataDxfId="291" dataCellStyle="Percent"/>
    <tableColumn id="6" xr3:uid="{00000000-0010-0000-0C00-000006000000}" name="See-Through Rate _x000a_[% Visible]" dataDxfId="290" dataCellStyle="Percent"/>
    <tableColumn id="77" xr3:uid="{00000000-0010-0000-0C00-00004D000000}" name="Brand Safety _x000a_[% Passed]" dataDxfId="289" dataCellStyle="Percent"/>
    <tableColumn id="41" xr3:uid="{00000000-0010-0000-0C00-000029000000}" name="Brand Safety _x000a_[% Failed]" dataDxfId="288" dataCellStyle="Percent"/>
    <tableColumn id="60" xr3:uid="{00000000-0010-0000-0C00-00003C000000}" name="Brand Safety _x000a_[% Failed by Content]" dataDxfId="287" dataCellStyle="Percent"/>
    <tableColumn id="63" xr3:uid="{00000000-0010-0000-0C00-00003F000000}" name="Brand Safety _x000a_[% Failed by Geo]" dataDxfId="286" dataCellStyle="Percent"/>
    <tableColumn id="7" xr3:uid="{00000000-0010-0000-0C00-000007000000}" name="Brand Safety _x000a_[% Failed by Keyword]" dataDxfId="285" dataCellStyle="Percent"/>
    <tableColumn id="8" xr3:uid="{00000000-0010-0000-0C00-000008000000}" name="Brand Safety _x000a_[% Failed by Blacklist]" dataDxfId="284" dataCellStyle="Percent"/>
    <tableColumn id="9" xr3:uid="{00000000-0010-0000-0C00-000009000000}" name="Brand Safety _x000a_[% Failed by Language]" dataDxfId="283" dataCellStyle="Percent"/>
    <tableColumn id="10" xr3:uid="{00000000-0010-0000-0C00-00000A000000}" name="Fraud _x000a_[% Fraud]" dataDxfId="282" dataCellStyle="Percent"/>
    <tableColumn id="11" xr3:uid="{00000000-0010-0000-0C00-00000B000000}" name="Viewability _x000a_[Total Viewable Rate (Total Net Metrics)]" dataDxfId="281" dataCellStyle="Percent"/>
    <tableColumn id="2" xr3:uid="{00000000-0010-0000-0C00-000002000000}" name="Display Viewability _x000a_[Total Viewable Rate (Total Net Metrics)]" dataDxfId="280" dataCellStyle="Percent"/>
    <tableColumn id="78" xr3:uid="{00000000-0010-0000-0C00-00004E000000}" name="Video Viewability _x000a_[Total Viewable Rate (Total Net Metrics)]" dataDxfId="279" dataCellStyle="Percent"/>
    <tableColumn id="12" xr3:uid="{00000000-0010-0000-0C00-00000C000000}" name="GroupM Viewability _x000a_[% Display Ads Fully in View]" dataDxfId="278" dataCellStyle="Percent"/>
    <tableColumn id="76" xr3:uid="{00000000-0010-0000-0C00-00004C000000}" name="GroupM Viewability _x000a_[% Videos Fully in View]" dataDxfId="277" dataCellStyle="Percent"/>
    <tableColumn id="3" xr3:uid="{00000000-0010-0000-0C00-000003000000}" name="Publicis Viewability _x000a_[% Display Ads Fully in View]" dataDxfId="276" dataCellStyle="Percent"/>
    <tableColumn id="13" xr3:uid="{00000000-0010-0000-0C00-00000D000000}" name="Publicis Viewability _x000a_[% Videos Fully in View]" dataDxfId="275" dataCellStyle="Percent"/>
  </tableColumns>
  <tableStyleInfo name="New IAS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BenchmarksPP" displayName="BenchmarksPP" ref="K6:AA13" totalsRowShown="0" headerRowDxfId="274" dataDxfId="273">
  <autoFilter ref="K6:AA13" xr:uid="{00000000-0009-0000-0100-00000F000000}"/>
  <tableColumns count="17">
    <tableColumn id="1" xr3:uid="{00000000-0010-0000-0D00-000001000000}" name="Measured Rate _x000a_[% Measured]" dataDxfId="272"/>
    <tableColumn id="2" xr3:uid="{00000000-0010-0000-0D00-000002000000}" name="See-Through Rate _x000a_[% Visible]" dataDxfId="271"/>
    <tableColumn id="25" xr3:uid="{00000000-0010-0000-0D00-000019000000}" name="Brand Safety _x000a_[% Passed]" dataDxfId="270">
      <calculatedColumnFormula array="1">SUM(
(DataPP[Brand Safety 
'[% Passed']]&lt;&gt;"NULL")*
DataPP[Brand Safety 
'[% Passed']]*SUBTOTAL(9,OFFSET(DataPP[Total Impressions],ROW(DataPP[Total Impressions])-MIN(ROW(DataPP[Total Impressions])),0,1)))
/
SUM(
(DataPP[Brand Safety 
'[% Passed']]&lt;&gt;"NULL")*
SUBTOTAL(9,OFFSET(DataPP[Total Impressions],ROW(DataPP[Total Impressions])-MIN(ROW(DataPP[Total Impressions])),0,1)))</calculatedColumnFormula>
    </tableColumn>
    <tableColumn id="23" xr3:uid="{00000000-0010-0000-0D00-000017000000}" name="Brand Safety _x000a_[% Failed]" dataDxfId="269"/>
    <tableColumn id="36" xr3:uid="{00000000-0010-0000-0D00-000024000000}" name="Brand Safety _x000a_[% Failed by Content]" dataDxfId="268"/>
    <tableColumn id="16" xr3:uid="{00000000-0010-0000-0D00-000010000000}" name="Brand Safety _x000a_[% Failed by Geo]" dataDxfId="267"/>
    <tableColumn id="3" xr3:uid="{00000000-0010-0000-0D00-000003000000}" name="Brand Safety _x000a_[% Failed by Keyword]" dataDxfId="266"/>
    <tableColumn id="4" xr3:uid="{00000000-0010-0000-0D00-000004000000}" name="Brand Safety _x000a_[% Failed by Blacklist]" dataDxfId="265"/>
    <tableColumn id="5" xr3:uid="{00000000-0010-0000-0D00-000005000000}" name="Brand Safety _x000a_[% Failed by Language]" dataDxfId="264"/>
    <tableColumn id="6" xr3:uid="{00000000-0010-0000-0D00-000006000000}" name="Fraud _x000a_[% Fraud]" dataDxfId="263"/>
    <tableColumn id="7" xr3:uid="{00000000-0010-0000-0D00-000007000000}" name="Viewability _x000a_[Total Viewable Rate (Total Net Metrics)]" dataDxfId="262"/>
    <tableColumn id="8" xr3:uid="{00000000-0010-0000-0D00-000008000000}" name="Display Viewability _x000a_[Total Viewable Rate (Total Net Metrics)]" dataDxfId="261"/>
    <tableColumn id="26" xr3:uid="{00000000-0010-0000-0D00-00001A000000}" name="Video Viewability _x000a_[Total Viewable Rate (Total Net Metrics)]" dataDxfId="260">
      <calculatedColumnFormula array="1">SUM(
IF(DataPP[Video Viewability 
'[Total Viewable Rate (Total Net Metrics)']]&lt;&gt;"NULL",
IF(DataPP[Partner Type]=#REF!,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Type]=#REF!,
SUBTOTAL(9,OFFSET(DataPP[Total Impressions],ROW(DataPP[Total Impressions])-MIN(ROW(DataPP[Total Impressions])),0,1)))))</calculatedColumnFormula>
    </tableColumn>
    <tableColumn id="9" xr3:uid="{00000000-0010-0000-0D00-000009000000}" name="GroupM Viewability _x000a_[% Display Ads Fully in View]" dataDxfId="259"/>
    <tableColumn id="24" xr3:uid="{00000000-0010-0000-0D00-000018000000}" name="GroupM Viewability _x000a_[% Videos Fully in View]" dataDxfId="258"/>
    <tableColumn id="10" xr3:uid="{00000000-0010-0000-0D00-00000A000000}" name="Publicis Viewability _x000a_[% Display Ads Fully in View]" dataDxfId="257"/>
    <tableColumn id="11" xr3:uid="{00000000-0010-0000-0D00-00000B000000}" name="Publicis Viewability _x000a_[% Videos Fully in View]" dataDxfId="256"/>
  </tableColumns>
  <tableStyleInfo name="New IAS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E000000}" name="ColumnPP" displayName="ColumnPP" ref="J6:J13" totalsRowShown="0" headerRowDxfId="255" dataDxfId="253" headerRowBorderDxfId="254" tableBorderDxfId="252">
  <autoFilter ref="J6:J13" xr:uid="{00000000-0009-0000-0100-000027000000}"/>
  <tableColumns count="1">
    <tableColumn id="1" xr3:uid="{00000000-0010-0000-0E00-000001000000}" name="Metric" dataDxfId="251"/>
  </tableColumns>
  <tableStyleInfo name="New IAS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F000000}" name="DataD" displayName="DataD" ref="B15:AA16" totalsRowShown="0" headerRowDxfId="244" dataDxfId="242" headerRowBorderDxfId="243" dataCellStyle="Percent">
  <autoFilter ref="B15:AA16" xr:uid="{00000000-0009-0000-0100-00001B000000}"/>
  <tableColumns count="26">
    <tableColumn id="74" xr3:uid="{00000000-0010-0000-0F00-00004A000000}" name="NO MAPPING" dataDxfId="241"/>
    <tableColumn id="73" xr3:uid="{00000000-0010-0000-0F00-000049000000}" name="Team" dataDxfId="240"/>
    <tableColumn id="71" xr3:uid="{00000000-0010-0000-0F00-000047000000}" name="Campaign" dataDxfId="239"/>
    <tableColumn id="18" xr3:uid="{00000000-0010-0000-0F00-000012000000}" name="Partner" dataDxfId="238"/>
    <tableColumn id="38" xr3:uid="{00000000-0010-0000-0F00-000026000000}" name="Placement" dataDxfId="237"/>
    <tableColumn id="122" xr3:uid="{00000000-0010-0000-0F00-00007A000000}" name="Device Type" dataDxfId="236"/>
    <tableColumn id="75" xr3:uid="{00000000-0010-0000-0F00-00004B000000}" name="Blocking Status" dataDxfId="235"/>
    <tableColumn id="72" xr3:uid="{00000000-0010-0000-0F00-000048000000}" name="Measured Impressions" dataDxfId="234" dataCellStyle="Comma"/>
    <tableColumn id="4" xr3:uid="{00000000-0010-0000-0F00-000004000000}" name="Total Impressions" dataDxfId="233" dataCellStyle="Comma"/>
    <tableColumn id="5" xr3:uid="{00000000-0010-0000-0F00-000005000000}" name="Measured Rate _x000a_[% Measured]" dataDxfId="232" dataCellStyle="Percent"/>
    <tableColumn id="6" xr3:uid="{00000000-0010-0000-0F00-000006000000}" name="See-Through Rate _x000a_[% Visible]" dataDxfId="231" dataCellStyle="Percent"/>
    <tableColumn id="77" xr3:uid="{00000000-0010-0000-0F00-00004D000000}" name="Brand Safety _x000a_[% Passed]" dataDxfId="230" dataCellStyle="Percent"/>
    <tableColumn id="41" xr3:uid="{00000000-0010-0000-0F00-000029000000}" name="Brand Safety _x000a_[% Failed]" dataDxfId="229" dataCellStyle="Percent"/>
    <tableColumn id="60" xr3:uid="{00000000-0010-0000-0F00-00003C000000}" name="Brand Safety _x000a_[% Failed by Content]" dataDxfId="228" dataCellStyle="Percent"/>
    <tableColumn id="63" xr3:uid="{00000000-0010-0000-0F00-00003F000000}" name="Brand Safety _x000a_[% Failed by Geo]" dataDxfId="227" dataCellStyle="Percent"/>
    <tableColumn id="7" xr3:uid="{00000000-0010-0000-0F00-000007000000}" name="Brand Safety _x000a_[% Failed by Keyword]" dataDxfId="226" dataCellStyle="Percent"/>
    <tableColumn id="8" xr3:uid="{00000000-0010-0000-0F00-000008000000}" name="Brand Safety _x000a_[% Failed by Blacklist]" dataDxfId="225" dataCellStyle="Percent"/>
    <tableColumn id="9" xr3:uid="{00000000-0010-0000-0F00-000009000000}" name="Brand Safety _x000a_[% Failed by Language]" dataDxfId="224" dataCellStyle="Percent"/>
    <tableColumn id="10" xr3:uid="{00000000-0010-0000-0F00-00000A000000}" name="Fraud _x000a_[% Fraud]" dataDxfId="223" dataCellStyle="Percent"/>
    <tableColumn id="11" xr3:uid="{00000000-0010-0000-0F00-00000B000000}" name="Viewability _x000a_[Total Viewable Rate (Total Net Metrics)]" dataDxfId="222" dataCellStyle="Percent"/>
    <tableColumn id="2" xr3:uid="{00000000-0010-0000-0F00-000002000000}" name="Display Viewability _x000a_[Total Viewable Rate (Total Net Metrics)]" dataDxfId="221" dataCellStyle="Percent"/>
    <tableColumn id="78" xr3:uid="{00000000-0010-0000-0F00-00004E000000}" name="Video Viewability _x000a_[Total Viewable Rate (Total Net Metrics)]" dataDxfId="220" dataCellStyle="Percent"/>
    <tableColumn id="12" xr3:uid="{00000000-0010-0000-0F00-00000C000000}" name="GroupM Viewability _x000a_[% Display Ads Fully in View]" dataDxfId="219" dataCellStyle="Percent"/>
    <tableColumn id="76" xr3:uid="{00000000-0010-0000-0F00-00004C000000}" name="GroupM Viewability _x000a_[% Videos Fully in View]" dataDxfId="218" dataCellStyle="Percent"/>
    <tableColumn id="3" xr3:uid="{00000000-0010-0000-0F00-000003000000}" name="Publicis Viewability _x000a_[% Display Ads Fully in View]" dataDxfId="217" dataCellStyle="Percent"/>
    <tableColumn id="13" xr3:uid="{00000000-0010-0000-0F00-00000D000000}" name="Publicis Viewability _x000a_[% Videos Fully in View]" dataDxfId="216" dataCellStyle="Percent"/>
  </tableColumns>
  <tableStyleInfo name="New IAS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0000000}" name="BenchmarksD" displayName="BenchmarksD" ref="K6:AA13" totalsRowShown="0" headerRowDxfId="215" dataDxfId="214">
  <autoFilter ref="K6:AA13" xr:uid="{00000000-0009-0000-0100-00001C000000}"/>
  <tableColumns count="17">
    <tableColumn id="1" xr3:uid="{00000000-0010-0000-1000-000001000000}" name="Measured Rate _x000a_[% Measured]" dataDxfId="213"/>
    <tableColumn id="2" xr3:uid="{00000000-0010-0000-1000-000002000000}" name="See-Through Rate _x000a_[% Visible]" dataDxfId="212"/>
    <tableColumn id="25" xr3:uid="{00000000-0010-0000-1000-000019000000}" name="Brand Safety _x000a_[% Passed]" dataDxfId="211">
      <calculatedColumnFormula array="1">SUM(
(DataD[Brand Safety 
'[% Passed']]&lt;&gt;"NULL")*
DataD[Brand Safety 
'[% Passed']]*SUBTOTAL(9,OFFSET(DataD[Total Impressions],ROW(DataD[Total Impressions])-MIN(ROW(DataD[Total Impressions])),0,1)))
/
SUM(
(DataD[Brand Safety 
'[% Passed']]&lt;&gt;"NULL")*
SUBTOTAL(9,OFFSET(DataD[Total Impressions],ROW(DataD[Total Impressions])-MIN(ROW(DataD[Total Impressions])),0,1)))</calculatedColumnFormula>
    </tableColumn>
    <tableColumn id="23" xr3:uid="{00000000-0010-0000-1000-000017000000}" name="Brand Safety _x000a_[% Failed]" dataDxfId="210"/>
    <tableColumn id="36" xr3:uid="{00000000-0010-0000-1000-000024000000}" name="Brand Safety _x000a_[% Failed by Content]" dataDxfId="209"/>
    <tableColumn id="16" xr3:uid="{00000000-0010-0000-1000-000010000000}" name="Brand Safety _x000a_[% Failed by Geo]" dataDxfId="208"/>
    <tableColumn id="3" xr3:uid="{00000000-0010-0000-1000-000003000000}" name="Brand Safety _x000a_[% Failed by Keyword]" dataDxfId="207"/>
    <tableColumn id="4" xr3:uid="{00000000-0010-0000-1000-000004000000}" name="Brand Safety _x000a_[% Failed by Blacklist]" dataDxfId="206"/>
    <tableColumn id="5" xr3:uid="{00000000-0010-0000-1000-000005000000}" name="Brand Safety _x000a_[% Failed by Language]" dataDxfId="205"/>
    <tableColumn id="6" xr3:uid="{00000000-0010-0000-1000-000006000000}" name="Fraud _x000a_[% Fraud]" dataDxfId="204"/>
    <tableColumn id="7" xr3:uid="{00000000-0010-0000-1000-000007000000}" name="Viewability _x000a_[Total Viewable Rate (Total Net Metrics)]" dataDxfId="203"/>
    <tableColumn id="8" xr3:uid="{00000000-0010-0000-1000-000008000000}" name="Display Viewability _x000a_[Total Viewable Rate (Total Net Metrics)]" dataDxfId="202"/>
    <tableColumn id="26" xr3:uid="{00000000-0010-0000-1000-00001A000000}" name="Video Viewability _x000a_[Total Viewable Rate (Total Net Metrics)]" dataDxfId="201">
      <calculatedColumnFormula array="1">SUM(
IF(DataD[Video Viewability 
'[Total Viewable Rate (Total Net Metrics)']]&lt;&gt;"NULL",
IF(DataD[NO MAPPING]=#REF!,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MAPPING]=#REF!,
SUBTOTAL(9,OFFSET(DataD[Total Impressions],ROW(DataD[Total Impressions])-MIN(ROW(DataD[Total Impressions])),0,1)))))</calculatedColumnFormula>
    </tableColumn>
    <tableColumn id="9" xr3:uid="{00000000-0010-0000-1000-000009000000}" name="GroupM Viewability _x000a_[% Display Ads Fully in View]" dataDxfId="200"/>
    <tableColumn id="24" xr3:uid="{00000000-0010-0000-1000-000018000000}" name="GroupM Viewability _x000a_[% Videos Fully in View]" dataDxfId="199"/>
    <tableColumn id="10" xr3:uid="{00000000-0010-0000-1000-00000A000000}" name="Publicis Viewability _x000a_[% Display Ads Fully in View]" dataDxfId="198"/>
    <tableColumn id="11" xr3:uid="{00000000-0010-0000-1000-00000B000000}" name="Publicis Viewability _x000a_[% Videos Fully in View]" dataDxfId="197"/>
  </tableColumns>
  <tableStyleInfo name="New IAS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1000000}" name="ColumnD" displayName="ColumnD" ref="J6:J13" totalsRowShown="0" headerRowDxfId="196" dataDxfId="194" headerRowBorderDxfId="195" tableBorderDxfId="193">
  <autoFilter ref="J6:J13" xr:uid="{00000000-0009-0000-0100-000028000000}"/>
  <tableColumns count="1">
    <tableColumn id="1" xr3:uid="{00000000-0010-0000-1100-000001000000}" name="Metric" dataDxfId="192"/>
  </tableColumns>
  <tableStyleInfo name="New IAS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2000000}" name="DataCD" displayName="DataCD" ref="B15:AA16" totalsRowShown="0" headerRowDxfId="185" dataDxfId="183" headerRowBorderDxfId="184" dataCellStyle="Percent">
  <autoFilter ref="B15:AA16" xr:uid="{00000000-0009-0000-0100-000011000000}"/>
  <tableColumns count="26">
    <tableColumn id="74" xr3:uid="{00000000-0010-0000-1200-00004A000000}" name="Brand" dataDxfId="182">
      <calculatedColumnFormula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calculatedColumnFormula>
    </tableColumn>
    <tableColumn id="73" xr3:uid="{00000000-0010-0000-1200-000049000000}" name="Team" dataDxfId="181"/>
    <tableColumn id="71" xr3:uid="{00000000-0010-0000-1200-000047000000}" name="Campaign" dataDxfId="180"/>
    <tableColumn id="18" xr3:uid="{00000000-0010-0000-1200-000012000000}" name="Partner" dataDxfId="179"/>
    <tableColumn id="38" xr3:uid="{00000000-0010-0000-1200-000026000000}" name="Placement" dataDxfId="178"/>
    <tableColumn id="122" xr3:uid="{00000000-0010-0000-1200-00007A000000}" name="Device Type" dataDxfId="177"/>
    <tableColumn id="75" xr3:uid="{00000000-0010-0000-1200-00004B000000}" name="Blocking Status" dataDxfId="176"/>
    <tableColumn id="72" xr3:uid="{00000000-0010-0000-1200-000048000000}" name="Measured Impressions" dataDxfId="175" dataCellStyle="Comma"/>
    <tableColumn id="4" xr3:uid="{00000000-0010-0000-1200-000004000000}" name="Total Impressions" dataDxfId="174" dataCellStyle="Comma"/>
    <tableColumn id="5" xr3:uid="{00000000-0010-0000-1200-000005000000}" name="Measured Rate _x000a_[% Measured]" dataDxfId="173" dataCellStyle="Percent"/>
    <tableColumn id="6" xr3:uid="{00000000-0010-0000-1200-000006000000}" name="See-Through Rate _x000a_[% Visible]" dataDxfId="172" dataCellStyle="Percent"/>
    <tableColumn id="77" xr3:uid="{00000000-0010-0000-1200-00004D000000}" name="Brand Safety _x000a_[% Passed]" dataDxfId="171" dataCellStyle="Percent"/>
    <tableColumn id="41" xr3:uid="{00000000-0010-0000-1200-000029000000}" name="Brand Safety _x000a_[% Failed]" dataDxfId="170" dataCellStyle="Percent"/>
    <tableColumn id="60" xr3:uid="{00000000-0010-0000-1200-00003C000000}" name="Brand Safety _x000a_[% Failed by Content]" dataDxfId="169" dataCellStyle="Percent"/>
    <tableColumn id="63" xr3:uid="{00000000-0010-0000-1200-00003F000000}" name="Brand Safety _x000a_[% Failed by Geo]" dataDxfId="168" dataCellStyle="Percent"/>
    <tableColumn id="7" xr3:uid="{00000000-0010-0000-1200-000007000000}" name="Brand Safety _x000a_[% Failed by Keyword]" dataDxfId="167" dataCellStyle="Percent"/>
    <tableColumn id="8" xr3:uid="{00000000-0010-0000-1200-000008000000}" name="Brand Safety _x000a_[% Failed by Blacklist]" dataDxfId="166" dataCellStyle="Percent"/>
    <tableColumn id="9" xr3:uid="{00000000-0010-0000-1200-000009000000}" name="Brand Safety _x000a_[% Failed by Language]" dataDxfId="165" dataCellStyle="Percent"/>
    <tableColumn id="10" xr3:uid="{00000000-0010-0000-1200-00000A000000}" name="Fraud _x000a_[% Fraud]" dataDxfId="164" dataCellStyle="Percent"/>
    <tableColumn id="11" xr3:uid="{00000000-0010-0000-1200-00000B000000}" name="Viewability _x000a_[Total Viewable Rate (Total Net Metrics)]" dataDxfId="163" dataCellStyle="Percent"/>
    <tableColumn id="2" xr3:uid="{00000000-0010-0000-1200-000002000000}" name="Display Viewability _x000a_[Total Viewable Rate (Total Net Metrics)]" dataDxfId="162" dataCellStyle="Percent"/>
    <tableColumn id="78" xr3:uid="{00000000-0010-0000-1200-00004E000000}" name="Video Viewability _x000a_[Total Viewable Rate (Total Net Metrics)]" dataDxfId="161" dataCellStyle="Percent"/>
    <tableColumn id="12" xr3:uid="{00000000-0010-0000-1200-00000C000000}" name="GroupM Viewability _x000a_[% Display Ads Fully in View]" dataDxfId="160" dataCellStyle="Percent"/>
    <tableColumn id="76" xr3:uid="{00000000-0010-0000-1200-00004C000000}" name="GroupM Viewability _x000a_[% Videos Fully in View]" dataDxfId="159" dataCellStyle="Percent"/>
    <tableColumn id="3" xr3:uid="{00000000-0010-0000-1200-000003000000}" name="Publicis Viewability _x000a_[% Display Ads Fully in View]" dataDxfId="158" dataCellStyle="Percent"/>
    <tableColumn id="13" xr3:uid="{00000000-0010-0000-1200-00000D000000}" name="Publicis Viewability _x000a_[% Videos Fully in View]" dataDxfId="157" dataCellStyle="Percent"/>
  </tableColumns>
  <tableStyleInfo name="New IAS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BenchmarksCD" displayName="BenchmarksCD" ref="K6:AA13" totalsRowShown="0" headerRowDxfId="156" dataDxfId="155">
  <autoFilter ref="K6:AA13" xr:uid="{00000000-0009-0000-0100-000016000000}"/>
  <tableColumns count="17">
    <tableColumn id="1" xr3:uid="{00000000-0010-0000-1300-000001000000}" name="Measured Rate _x000a_[% Measured]" dataDxfId="154"/>
    <tableColumn id="2" xr3:uid="{00000000-0010-0000-1300-000002000000}" name="See-Through Rate _x000a_[% Visible]" dataDxfId="153"/>
    <tableColumn id="25" xr3:uid="{00000000-0010-0000-1300-000019000000}" name="Brand Safety _x000a_[% Passed]" dataDxfId="152">
      <calculatedColumnFormula array="1">SUM(
(DataCD[Brand Safety 
'[% Passed']]&lt;&gt;"NULL")*
DataCD[Brand Safety 
'[% Passed']]*SUBTOTAL(9,OFFSET(DataCD[Total Impressions],ROW(DataCD[Total Impressions])-MIN(ROW(DataCD[Total Impressions])),0,1)))
/
SUM(
(DataCD[Brand Safety 
'[% Passed']]&lt;&gt;"NULL")*
SUBTOTAL(9,OFFSET(DataCD[Total Impressions],ROW(DataCD[Total Impressions])-MIN(ROW(DataCD[Total Impressions])),0,1)))</calculatedColumnFormula>
    </tableColumn>
    <tableColumn id="23" xr3:uid="{00000000-0010-0000-1300-000017000000}" name="Brand Safety _x000a_[% Failed]" dataDxfId="151"/>
    <tableColumn id="36" xr3:uid="{00000000-0010-0000-1300-000024000000}" name="Brand Safety _x000a_[% Failed by Content]" dataDxfId="150"/>
    <tableColumn id="16" xr3:uid="{00000000-0010-0000-1300-000010000000}" name="Brand Safety _x000a_[% Failed by Geo]" dataDxfId="149"/>
    <tableColumn id="3" xr3:uid="{00000000-0010-0000-1300-000003000000}" name="Brand Safety _x000a_[% Failed by Keyword]" dataDxfId="148"/>
    <tableColumn id="4" xr3:uid="{00000000-0010-0000-1300-000004000000}" name="Brand Safety _x000a_[% Failed by Blacklist]" dataDxfId="147"/>
    <tableColumn id="5" xr3:uid="{00000000-0010-0000-1300-000005000000}" name="Brand Safety _x000a_[% Failed by Language]" dataDxfId="146"/>
    <tableColumn id="6" xr3:uid="{00000000-0010-0000-1300-000006000000}" name="Fraud _x000a_[% Fraud]" dataDxfId="145"/>
    <tableColumn id="7" xr3:uid="{00000000-0010-0000-1300-000007000000}" name="Viewability _x000a_[Total Viewable Rate (Total Net Metrics)]" dataDxfId="144"/>
    <tableColumn id="8" xr3:uid="{00000000-0010-0000-1300-000008000000}" name="Display Viewability _x000a_[Total Viewable Rate (Total Net Metrics)]" dataDxfId="143"/>
    <tableColumn id="26" xr3:uid="{00000000-0010-0000-1300-00001A000000}" name="Video Viewability _x000a_[Total Viewable Rate (Total Net Metrics)]" dataDxfId="142">
      <calculatedColumnFormula array="1">SUM(
IF(DataCD[Video Viewability 
'[Total Viewable Rate (Total Net Metrics)']]&lt;&gt;"NULL",
IF(DataCD[Brand]=#REF!,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IF(DataCD[Brand]=#REF!,
SUBTOTAL(9,OFFSET(DataCD[Total Impressions],ROW(DataCD[Total Impressions])-MIN(ROW(DataCD[Total Impressions])),0,1)))))</calculatedColumnFormula>
    </tableColumn>
    <tableColumn id="9" xr3:uid="{00000000-0010-0000-1300-000009000000}" name="GroupM Viewability _x000a_[% Display Ads Fully in View]" dataDxfId="141"/>
    <tableColumn id="24" xr3:uid="{00000000-0010-0000-1300-000018000000}" name="GroupM Viewability _x000a_[% Videos Fully in View]" dataDxfId="140"/>
    <tableColumn id="10" xr3:uid="{00000000-0010-0000-1300-00000A000000}" name="Publicis Viewability _x000a_[% Display Ads Fully in View]" dataDxfId="139"/>
    <tableColumn id="11" xr3:uid="{00000000-0010-0000-1300-00000B000000}" name="Publicis Viewability _x000a_[% Videos Fully in View]" dataDxfId="138"/>
  </tableColumns>
  <tableStyleInfo name="New IAS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14000000}" name="ColumnCD" displayName="ColumnCD" ref="J6:J13" totalsRowShown="0" headerRowDxfId="137" dataDxfId="135" headerRowBorderDxfId="136" tableBorderDxfId="134">
  <autoFilter ref="J6:J13" xr:uid="{00000000-0009-0000-0100-000029000000}"/>
  <tableColumns count="1">
    <tableColumn id="1" xr3:uid="{00000000-0010-0000-1400-000001000000}" name="Metric" dataDxfId="133"/>
  </tableColumns>
  <tableStyleInfo name="New IAS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5000000}" name="DataPD" displayName="DataPD" ref="B15:AA16" totalsRowShown="0" headerRowDxfId="125" dataDxfId="123" headerRowBorderDxfId="124" dataCellStyle="Percent">
  <autoFilter ref="B15:AA16" xr:uid="{00000000-0009-0000-0100-000018000000}"/>
  <tableColumns count="26">
    <tableColumn id="74" xr3:uid="{00000000-0010-0000-1500-00004A000000}" name="Partner Type" dataDxfId="122">
      <calculatedColumnFormula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calculatedColumnFormula>
    </tableColumn>
    <tableColumn id="73" xr3:uid="{00000000-0010-0000-1500-000049000000}" name="Team" dataDxfId="121"/>
    <tableColumn id="71" xr3:uid="{00000000-0010-0000-1500-000047000000}" name="Campaign" dataDxfId="120"/>
    <tableColumn id="18" xr3:uid="{00000000-0010-0000-1500-000012000000}" name="Partner" dataDxfId="119"/>
    <tableColumn id="38" xr3:uid="{00000000-0010-0000-1500-000026000000}" name="Placement" dataDxfId="118"/>
    <tableColumn id="122" xr3:uid="{00000000-0010-0000-1500-00007A000000}" name="Device Type" dataDxfId="117"/>
    <tableColumn id="75" xr3:uid="{00000000-0010-0000-1500-00004B000000}" name="Blocking Status" dataDxfId="116"/>
    <tableColumn id="72" xr3:uid="{00000000-0010-0000-1500-000048000000}" name="Measured Impressions" dataDxfId="115" dataCellStyle="Comma"/>
    <tableColumn id="4" xr3:uid="{00000000-0010-0000-1500-000004000000}" name="Total Impressions" dataDxfId="114" dataCellStyle="Comma"/>
    <tableColumn id="5" xr3:uid="{00000000-0010-0000-1500-000005000000}" name="Measured Rate _x000a_[% Measured]" dataDxfId="113" dataCellStyle="Percent"/>
    <tableColumn id="6" xr3:uid="{00000000-0010-0000-1500-000006000000}" name="See-Through Rate _x000a_[% Visible]" dataDxfId="112" dataCellStyle="Percent"/>
    <tableColumn id="77" xr3:uid="{00000000-0010-0000-1500-00004D000000}" name="Brand Safety _x000a_[% Passed]" dataDxfId="111" dataCellStyle="Percent"/>
    <tableColumn id="41" xr3:uid="{00000000-0010-0000-1500-000029000000}" name="Brand Safety _x000a_[% Failed]" dataDxfId="110" dataCellStyle="Percent"/>
    <tableColumn id="60" xr3:uid="{00000000-0010-0000-1500-00003C000000}" name="Brand Safety _x000a_[% Failed by Content]" dataDxfId="109" dataCellStyle="Percent"/>
    <tableColumn id="63" xr3:uid="{00000000-0010-0000-1500-00003F000000}" name="Brand Safety _x000a_[% Failed by Geo]" dataDxfId="108" dataCellStyle="Percent"/>
    <tableColumn id="7" xr3:uid="{00000000-0010-0000-1500-000007000000}" name="Brand Safety _x000a_[% Failed by Keyword]" dataDxfId="107" dataCellStyle="Percent"/>
    <tableColumn id="8" xr3:uid="{00000000-0010-0000-1500-000008000000}" name="Brand Safety _x000a_[% Failed by Blacklist]" dataDxfId="106" dataCellStyle="Percent"/>
    <tableColumn id="9" xr3:uid="{00000000-0010-0000-1500-000009000000}" name="Brand Safety _x000a_[% Failed by Language]" dataDxfId="105" dataCellStyle="Percent"/>
    <tableColumn id="10" xr3:uid="{00000000-0010-0000-1500-00000A000000}" name="Fraud _x000a_[% Fraud]" dataDxfId="104" dataCellStyle="Percent"/>
    <tableColumn id="11" xr3:uid="{00000000-0010-0000-1500-00000B000000}" name="Viewability _x000a_[Total Viewable Rate (Total Net Metrics)]" dataDxfId="103" dataCellStyle="Percent"/>
    <tableColumn id="2" xr3:uid="{00000000-0010-0000-1500-000002000000}" name="Display Viewability _x000a_[Total Viewable Rate (Total Net Metrics)]" dataDxfId="102" dataCellStyle="Percent"/>
    <tableColumn id="78" xr3:uid="{00000000-0010-0000-1500-00004E000000}" name="Video Viewability _x000a_[Total Viewable Rate (Total Net Metrics)]" dataDxfId="101" dataCellStyle="Percent"/>
    <tableColumn id="12" xr3:uid="{00000000-0010-0000-1500-00000C000000}" name="GroupM Viewability _x000a_[% Display Ads Fully in View]" dataDxfId="100" dataCellStyle="Percent"/>
    <tableColumn id="76" xr3:uid="{00000000-0010-0000-1500-00004C000000}" name="GroupM Viewability _x000a_[% Videos Fully in View]" dataDxfId="99" dataCellStyle="Percent"/>
    <tableColumn id="3" xr3:uid="{00000000-0010-0000-1500-000003000000}" name="Publicis Viewability _x000a_[% Display Ads Fully in View]" dataDxfId="98" dataCellStyle="Percent"/>
    <tableColumn id="13" xr3:uid="{00000000-0010-0000-1500-00000D000000}" name="Publicis Viewability _x000a_[% Videos Fully in View]" dataDxfId="97" dataCellStyle="Percent"/>
  </tableColumns>
  <tableStyleInfo name="New IAS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6000000}" name="BenchmarksPD" displayName="BenchmarksPD" ref="K6:AA13" totalsRowShown="0" headerRowDxfId="96" dataDxfId="95">
  <autoFilter ref="K6:AA13" xr:uid="{00000000-0009-0000-0100-000019000000}"/>
  <tableColumns count="17">
    <tableColumn id="1" xr3:uid="{00000000-0010-0000-1600-000001000000}" name="Measured Rate _x000a_[% Measured]" dataDxfId="94"/>
    <tableColumn id="2" xr3:uid="{00000000-0010-0000-1600-000002000000}" name="See-Through Rate _x000a_[% Visible]" dataDxfId="93"/>
    <tableColumn id="25" xr3:uid="{00000000-0010-0000-1600-000019000000}" name="Brand Safety _x000a_[% Passed]" dataDxfId="92">
      <calculatedColumnFormula array="1">SUM(
(DataPD[Brand Safety 
'[% Passed']]&lt;&gt;"NULL")*
DataPD[Brand Safety 
'[% Passed']]*SUBTOTAL(9,OFFSET(DataPD[Total Impressions],ROW(DataPD[Total Impressions])-MIN(ROW(DataPD[Total Impressions])),0,1)))
/
SUM(
(DataPD[Brand Safety 
'[% Passed']]&lt;&gt;"NULL")*
SUBTOTAL(9,OFFSET(DataPD[Total Impressions],ROW(DataPD[Total Impressions])-MIN(ROW(DataPD[Total Impressions])),0,1)))</calculatedColumnFormula>
    </tableColumn>
    <tableColumn id="23" xr3:uid="{00000000-0010-0000-1600-000017000000}" name="Brand Safety _x000a_[% Failed]" dataDxfId="91"/>
    <tableColumn id="36" xr3:uid="{00000000-0010-0000-1600-000024000000}" name="Brand Safety _x000a_[% Failed by Content]" dataDxfId="90"/>
    <tableColumn id="16" xr3:uid="{00000000-0010-0000-1600-000010000000}" name="Brand Safety _x000a_[% Failed by Geo]" dataDxfId="89"/>
    <tableColumn id="3" xr3:uid="{00000000-0010-0000-1600-000003000000}" name="Brand Safety _x000a_[% Failed by Keyword]" dataDxfId="88"/>
    <tableColumn id="4" xr3:uid="{00000000-0010-0000-1600-000004000000}" name="Brand Safety _x000a_[% Failed by Blacklist]" dataDxfId="87"/>
    <tableColumn id="5" xr3:uid="{00000000-0010-0000-1600-000005000000}" name="Brand Safety _x000a_[% Failed by Language]" dataDxfId="86"/>
    <tableColumn id="6" xr3:uid="{00000000-0010-0000-1600-000006000000}" name="Fraud _x000a_[% Fraud]" dataDxfId="85"/>
    <tableColumn id="7" xr3:uid="{00000000-0010-0000-1600-000007000000}" name="Viewability _x000a_[Total Viewable Rate (Total Net Metrics)]" dataDxfId="84"/>
    <tableColumn id="8" xr3:uid="{00000000-0010-0000-1600-000008000000}" name="Display Viewability _x000a_[Total Viewable Rate (Total Net Metrics)]" dataDxfId="83"/>
    <tableColumn id="26" xr3:uid="{00000000-0010-0000-1600-00001A000000}" name="Video Viewability _x000a_[Total Viewable Rate (Total Net Metrics)]" dataDxfId="82">
      <calculatedColumnFormula array="1">SUM(
IF(DataPD[Video Viewability 
'[Total Viewable Rate (Total Net Metrics)']]&lt;&gt;"NULL",
IF(DataPD[Partner Type]=#REF!,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Type]=#REF!,
SUBTOTAL(9,OFFSET(DataPD[Total Impressions],ROW(DataPD[Total Impressions])-MIN(ROW(DataPD[Total Impressions])),0,1)))))</calculatedColumnFormula>
    </tableColumn>
    <tableColumn id="9" xr3:uid="{00000000-0010-0000-1600-000009000000}" name="GroupM Viewability _x000a_[% Display Ads Fully in View]" dataDxfId="81"/>
    <tableColumn id="24" xr3:uid="{00000000-0010-0000-1600-000018000000}" name="GroupM Viewability _x000a_[% Videos Fully in View]" dataDxfId="80"/>
    <tableColumn id="10" xr3:uid="{00000000-0010-0000-1600-00000A000000}" name="Publicis Viewability _x000a_[% Display Ads Fully in View]" dataDxfId="79"/>
    <tableColumn id="11" xr3:uid="{00000000-0010-0000-1600-00000B000000}" name="Publicis Viewability _x000a_[% Videos Fully in View]" dataDxfId="78"/>
  </tableColumns>
  <tableStyleInfo name="New IAS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7000000}" name="ColumnPD" displayName="ColumnPD" ref="J6:J13" totalsRowShown="0" headerRowDxfId="77" dataDxfId="75" headerRowBorderDxfId="76" tableBorderDxfId="74">
  <autoFilter ref="J6:J13" xr:uid="{00000000-0009-0000-0100-00002A000000}"/>
  <tableColumns count="1">
    <tableColumn id="1" xr3:uid="{00000000-0010-0000-1700-000001000000}" name="Metric" dataDxfId="73"/>
  </tableColumns>
  <tableStyleInfo name="New IAS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8000000}" name="DataCPD" displayName="DataCPD" ref="B15:AA16" totalsRowShown="0" headerRowDxfId="66" dataDxfId="64" headerRowBorderDxfId="65" dataCellStyle="Percent">
  <autoFilter ref="B15:AA16" xr:uid="{00000000-0009-0000-0100-00001E000000}"/>
  <tableColumns count="26">
    <tableColumn id="74" xr3:uid="{00000000-0010-0000-1800-00004A000000}" name="Brand" dataDxfId="63">
      <calculatedColumnFormula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calculatedColumnFormula>
    </tableColumn>
    <tableColumn id="73" xr3:uid="{00000000-0010-0000-1800-000049000000}" name="Team" dataDxfId="62"/>
    <tableColumn id="71" xr3:uid="{00000000-0010-0000-1800-000047000000}" name="Campaign" dataDxfId="61"/>
    <tableColumn id="18" xr3:uid="{00000000-0010-0000-1800-000012000000}" name="Partner" dataDxfId="60"/>
    <tableColumn id="38" xr3:uid="{00000000-0010-0000-1800-000026000000}" name="Placement" dataDxfId="59"/>
    <tableColumn id="122" xr3:uid="{00000000-0010-0000-1800-00007A000000}" name="Device Type" dataDxfId="58"/>
    <tableColumn id="75" xr3:uid="{00000000-0010-0000-1800-00004B000000}" name="Blocking Status" dataDxfId="57"/>
    <tableColumn id="72" xr3:uid="{00000000-0010-0000-1800-000048000000}" name="Measured Impressions" dataDxfId="56" dataCellStyle="Comma"/>
    <tableColumn id="4" xr3:uid="{00000000-0010-0000-1800-000004000000}" name="Total Impressions" dataDxfId="55" dataCellStyle="Comma"/>
    <tableColumn id="5" xr3:uid="{00000000-0010-0000-1800-000005000000}" name="Measured Rate _x000a_[% Measured]" dataDxfId="54" dataCellStyle="Percent"/>
    <tableColumn id="6" xr3:uid="{00000000-0010-0000-1800-000006000000}" name="See-Through Rate _x000a_[% Visible]" dataDxfId="53" dataCellStyle="Percent"/>
    <tableColumn id="77" xr3:uid="{00000000-0010-0000-1800-00004D000000}" name="Brand Safety _x000a_[% Passed]" dataDxfId="52" dataCellStyle="Percent"/>
    <tableColumn id="41" xr3:uid="{00000000-0010-0000-1800-000029000000}" name="Brand Safety _x000a_[% Failed]" dataDxfId="51" dataCellStyle="Percent"/>
    <tableColumn id="60" xr3:uid="{00000000-0010-0000-1800-00003C000000}" name="Brand Safety _x000a_[% Failed by Content]" dataDxfId="50" dataCellStyle="Percent"/>
    <tableColumn id="63" xr3:uid="{00000000-0010-0000-1800-00003F000000}" name="Brand Safety _x000a_[% Failed by Geo]" dataDxfId="49" dataCellStyle="Percent"/>
    <tableColumn id="7" xr3:uid="{00000000-0010-0000-1800-000007000000}" name="Brand Safety _x000a_[% Failed by Keyword]" dataDxfId="48" dataCellStyle="Percent"/>
    <tableColumn id="8" xr3:uid="{00000000-0010-0000-1800-000008000000}" name="Brand Safety _x000a_[% Failed by Blacklist]" dataDxfId="47" dataCellStyle="Percent"/>
    <tableColumn id="9" xr3:uid="{00000000-0010-0000-1800-000009000000}" name="Brand Safety _x000a_[% Failed by Language]" dataDxfId="46" dataCellStyle="Percent"/>
    <tableColumn id="10" xr3:uid="{00000000-0010-0000-1800-00000A000000}" name="Fraud _x000a_[% Fraud]" dataDxfId="45" dataCellStyle="Percent"/>
    <tableColumn id="11" xr3:uid="{00000000-0010-0000-1800-00000B000000}" name="Viewability _x000a_[Total Viewable Rate (Total Net Metrics)]" dataDxfId="44" dataCellStyle="Percent"/>
    <tableColumn id="2" xr3:uid="{00000000-0010-0000-1800-000002000000}" name="Display Viewability _x000a_[Total Viewable Rate (Total Net Metrics)]" dataDxfId="43" dataCellStyle="Percent"/>
    <tableColumn id="78" xr3:uid="{00000000-0010-0000-1800-00004E000000}" name="Video Viewability _x000a_[Total Viewable Rate (Total Net Metrics)]" dataDxfId="42" dataCellStyle="Percent"/>
    <tableColumn id="12" xr3:uid="{00000000-0010-0000-1800-00000C000000}" name="GroupM Viewability _x000a_[% Display Ads Fully in View]" dataDxfId="41" dataCellStyle="Percent"/>
    <tableColumn id="76" xr3:uid="{00000000-0010-0000-1800-00004C000000}" name="GroupM Viewability _x000a_[% Videos Fully in View]" dataDxfId="40" dataCellStyle="Percent"/>
    <tableColumn id="3" xr3:uid="{00000000-0010-0000-1800-000003000000}" name="Publicis Viewability _x000a_[% Display Ads Fully in View]" dataDxfId="39" dataCellStyle="Percent"/>
    <tableColumn id="13" xr3:uid="{00000000-0010-0000-1800-00000D000000}" name="Publicis Viewability _x000a_[% Videos Fully in View]" dataDxfId="38" dataCellStyle="Percent"/>
  </tableColumns>
  <tableStyleInfo name="New IAS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9000000}" name="BenchmarksCPD" displayName="BenchmarksCPD" ref="K6:AA13" totalsRowShown="0" headerRowDxfId="37" dataDxfId="36">
  <autoFilter ref="K6:AA13" xr:uid="{00000000-0009-0000-0100-00001F000000}"/>
  <tableColumns count="17">
    <tableColumn id="1" xr3:uid="{00000000-0010-0000-1900-000001000000}" name="Measured Rate _x000a_[% Measured]" dataDxfId="35"/>
    <tableColumn id="2" xr3:uid="{00000000-0010-0000-1900-000002000000}" name="See-Through Rate _x000a_[% Visible]" dataDxfId="34"/>
    <tableColumn id="25" xr3:uid="{00000000-0010-0000-1900-000019000000}" name="Brand Safety _x000a_[% Passed]" dataDxfId="33">
      <calculatedColumnFormula array="1">SUM(
(DataCPD[Brand Safety 
'[% Passed']]&lt;&gt;"NULL")*
DataCPD[Brand Safety 
'[% Passed']]*SUBTOTAL(9,OFFSET(DataCPD[Total Impressions],ROW(DataCPD[Total Impressions])-MIN(ROW(DataCPD[Total Impressions])),0,1)))
/
SUM(
(DataCPD[Brand Safety 
'[% Passed']]&lt;&gt;"NULL")*
SUBTOTAL(9,OFFSET(DataCPD[Total Impressions],ROW(DataCPD[Total Impressions])-MIN(ROW(DataCPD[Total Impressions])),0,1)))</calculatedColumnFormula>
    </tableColumn>
    <tableColumn id="23" xr3:uid="{00000000-0010-0000-1900-000017000000}" name="Brand Safety _x000a_[% Failed]" dataDxfId="32"/>
    <tableColumn id="36" xr3:uid="{00000000-0010-0000-1900-000024000000}" name="Brand Safety _x000a_[% Failed by Content]" dataDxfId="31"/>
    <tableColumn id="16" xr3:uid="{00000000-0010-0000-1900-000010000000}" name="Brand Safety _x000a_[% Failed by Geo]" dataDxfId="30"/>
    <tableColumn id="3" xr3:uid="{00000000-0010-0000-1900-000003000000}" name="Brand Safety _x000a_[% Failed by Keyword]" dataDxfId="29"/>
    <tableColumn id="4" xr3:uid="{00000000-0010-0000-1900-000004000000}" name="Brand Safety _x000a_[% Failed by Blacklist]" dataDxfId="28"/>
    <tableColumn id="5" xr3:uid="{00000000-0010-0000-1900-000005000000}" name="Brand Safety _x000a_[% Failed by Language]" dataDxfId="27"/>
    <tableColumn id="6" xr3:uid="{00000000-0010-0000-1900-000006000000}" name="Fraud _x000a_[% Fraud]" dataDxfId="26"/>
    <tableColumn id="7" xr3:uid="{00000000-0010-0000-1900-000007000000}" name="Viewability _x000a_[Total Viewable Rate (Total Net Metrics)]" dataDxfId="25"/>
    <tableColumn id="8" xr3:uid="{00000000-0010-0000-1900-000008000000}" name="Display Viewability _x000a_[Total Viewable Rate (Total Net Metrics)]" dataDxfId="24"/>
    <tableColumn id="26" xr3:uid="{00000000-0010-0000-1900-00001A000000}" name="Video Viewability _x000a_[Total Viewable Rate (Total Net Metrics)]" dataDxfId="23">
      <calculatedColumnFormula array="1">SUM(
IF(DataCPD[Video Viewability 
'[Total Viewable Rate (Total Net Metrics)']]&lt;&gt;"NULL",
IF(DataCPD[Brand]=#REF!,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IF(DataCPD[Brand]=#REF!,
SUBTOTAL(9,OFFSET(DataCPD[Total Impressions],ROW(DataCPD[Total Impressions])-MIN(ROW(DataCPD[Total Impressions])),0,1)))))</calculatedColumnFormula>
    </tableColumn>
    <tableColumn id="9" xr3:uid="{00000000-0010-0000-1900-000009000000}" name="GroupM Viewability _x000a_[% Display Ads Fully in View]" dataDxfId="22"/>
    <tableColumn id="24" xr3:uid="{00000000-0010-0000-1900-000018000000}" name="GroupM Viewability _x000a_[% Videos Fully in View]" dataDxfId="21"/>
    <tableColumn id="10" xr3:uid="{00000000-0010-0000-1900-00000A000000}" name="Publicis Viewability _x000a_[% Display Ads Fully in View]" dataDxfId="20"/>
    <tableColumn id="11" xr3:uid="{00000000-0010-0000-1900-00000B000000}" name="Publicis Viewability _x000a_[% Videos Fully in View]" dataDxfId="19"/>
  </tableColumns>
  <tableStyleInfo name="New IAS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A000000}" name="ColumnCPD" displayName="ColumnCPD" ref="J6:J13" totalsRowShown="0" headerRowDxfId="18" dataDxfId="16" headerRowBorderDxfId="17" tableBorderDxfId="15">
  <autoFilter ref="J6:J13" xr:uid="{00000000-0009-0000-0100-00002B000000}"/>
  <tableColumns count="1">
    <tableColumn id="1" xr3:uid="{00000000-0010-0000-1A00-000001000000}" name="Metric" dataDxfId="14"/>
  </tableColumns>
  <tableStyleInfo name="New IAS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B000000}" name="Benchmark_Legend" displayName="Benchmark_Legend" ref="B4:C21" totalsRowShown="0" headerRowDxfId="13" dataDxfId="12">
  <autoFilter ref="B4:C21" xr:uid="{00000000-0009-0000-0100-000004000000}"/>
  <tableColumns count="2">
    <tableColumn id="1" xr3:uid="{00000000-0010-0000-1B00-000001000000}" name="Metric" dataDxfId="11"/>
    <tableColumn id="6" xr3:uid="{00000000-0010-0000-1B00-000006000000}" name="Client Goals" dataDxfId="10"/>
  </tableColumns>
  <tableStyleInfo name="New IAS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C000000}" name="Map_Campaign" displayName="Map_Campaign" ref="E4:G7" totalsRowShown="0" headerRowDxfId="9" headerRowBorderDxfId="8" tableBorderDxfId="7" totalsRowBorderDxfId="6">
  <autoFilter ref="E4:G7" xr:uid="{00000000-0009-0000-0100-000012000000}"/>
  <tableColumns count="3">
    <tableColumn id="1" xr3:uid="{00000000-0010-0000-1C00-000001000000}" name="Campaign"/>
    <tableColumn id="2" xr3:uid="{00000000-0010-0000-1C00-000002000000}" name="Brand"/>
    <tableColumn id="3" xr3:uid="{00000000-0010-0000-1C00-000003000000}" name="Region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D000000}" name="Map_Team" displayName="Map_Team" ref="B4:C7" totalsRowShown="0" headerRowDxfId="5" tableBorderDxfId="4">
  <autoFilter ref="B4:C7" xr:uid="{00000000-0009-0000-0100-000013000000}"/>
  <tableColumns count="2">
    <tableColumn id="1" xr3:uid="{00000000-0010-0000-1D00-000001000000}" name="Team"/>
    <tableColumn id="2" xr3:uid="{00000000-0010-0000-1D00-000002000000}" name="Region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Map_Partner" displayName="Map_Partner" ref="I4:J7" totalsRowShown="0" headerRowDxfId="3" tableBorderDxfId="2">
  <autoFilter ref="I4:J7" xr:uid="{00000000-0009-0000-0100-000014000000}"/>
  <tableColumns count="2">
    <tableColumn id="1" xr3:uid="{00000000-0010-0000-1E00-000001000000}" name="Partner"/>
    <tableColumn id="2" xr3:uid="{00000000-0010-0000-1E00-000002000000}" name="Partner Type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F000000}" name="Map_Placement" displayName="Map_Placement" ref="L4:N81" totalsRowShown="0" headerRowDxfId="1" tableBorderDxfId="0">
  <autoFilter ref="L4:N81" xr:uid="{00000000-0009-0000-0100-000015000000}"/>
  <tableColumns count="3">
    <tableColumn id="1" xr3:uid="{00000000-0010-0000-1F00-000001000000}" name="Placement"/>
    <tableColumn id="2" xr3:uid="{00000000-0010-0000-1F00-000002000000}" name="Creative Size"/>
    <tableColumn id="3" xr3:uid="{00000000-0010-0000-1F00-000003000000}" name="Device Type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AS">
      <a:dk1>
        <a:sysClr val="windowText" lastClr="000000"/>
      </a:dk1>
      <a:lt1>
        <a:srgbClr val="FFFFFF"/>
      </a:lt1>
      <a:dk2>
        <a:srgbClr val="00324A"/>
      </a:dk2>
      <a:lt2>
        <a:srgbClr val="E3F1F2"/>
      </a:lt2>
      <a:accent1>
        <a:srgbClr val="FF574A"/>
      </a:accent1>
      <a:accent2>
        <a:srgbClr val="00D1C0"/>
      </a:accent2>
      <a:accent3>
        <a:srgbClr val="596FFF"/>
      </a:accent3>
      <a:accent4>
        <a:srgbClr val="FFD12B"/>
      </a:accent4>
      <a:accent5>
        <a:srgbClr val="C3DCDE"/>
      </a:accent5>
      <a:accent6>
        <a:srgbClr val="2C9C89"/>
      </a:accent6>
      <a:hlink>
        <a:srgbClr val="0645AD"/>
      </a:hlink>
      <a:folHlink>
        <a:srgbClr val="A55858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7.xml"/><Relationship Id="rId4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drawing" Target="../drawings/drawing8.xml"/><Relationship Id="rId4" Type="http://schemas.openxmlformats.org/officeDocument/2006/relationships/table" Target="../tables/table2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4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DS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33" sqref="K33"/>
    </sheetView>
  </sheetViews>
  <sheetFormatPr defaultColWidth="0" defaultRowHeight="15" customHeight="1" x14ac:dyDescent="0.25"/>
  <cols>
    <col min="1" max="1" width="2.26953125" style="131" customWidth="1"/>
    <col min="2" max="2" width="22.1796875" style="203" hidden="1" customWidth="1"/>
    <col min="3" max="3" width="60.7265625" style="203" customWidth="1"/>
    <col min="4" max="4" width="60.7265625" style="203" hidden="1" customWidth="1"/>
    <col min="5" max="5" width="60.54296875" style="203" hidden="1" customWidth="1"/>
    <col min="6" max="6" width="60.7265625" style="203" hidden="1" customWidth="1"/>
    <col min="7" max="7" width="16.26953125" style="203" hidden="1" customWidth="1"/>
    <col min="8" max="8" width="21.81640625" style="203" customWidth="1"/>
    <col min="9" max="9" width="21.7265625" style="203" hidden="1" customWidth="1"/>
    <col min="10" max="10" width="24.453125" style="131" customWidth="1"/>
    <col min="11" max="11" width="24.453125" style="135" customWidth="1"/>
    <col min="12" max="47" width="23.453125" style="135" customWidth="1"/>
    <col min="48" max="79" width="17" style="135" customWidth="1"/>
    <col min="80" max="81" width="17.1796875" style="135" customWidth="1"/>
    <col min="82" max="102" width="17.1796875" style="131" customWidth="1"/>
    <col min="103" max="106" width="12.26953125" style="131" customWidth="1"/>
    <col min="107" max="114" width="12.453125" style="131" customWidth="1"/>
    <col min="115" max="121" width="8.81640625" style="131" customWidth="1"/>
    <col min="122" max="122" width="8.453125" style="136" customWidth="1"/>
    <col min="123" max="123" width="8.81640625" style="131" customWidth="1"/>
    <col min="124" max="16384" width="8.81640625" style="131" hidden="1"/>
  </cols>
  <sheetData>
    <row r="1" spans="1:122" ht="15.75" customHeight="1" thickBot="1" x14ac:dyDescent="0.3">
      <c r="B1" s="132"/>
      <c r="C1" s="132"/>
      <c r="D1" s="132"/>
      <c r="E1" s="133"/>
      <c r="F1" s="134" t="s">
        <v>21</v>
      </c>
      <c r="G1" s="134" t="s">
        <v>21</v>
      </c>
      <c r="H1" s="132"/>
      <c r="I1" s="134" t="s">
        <v>21</v>
      </c>
      <c r="J1" s="135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  <c r="AT1" s="131"/>
      <c r="AU1" s="131"/>
      <c r="AV1" s="131"/>
      <c r="AW1" s="131"/>
      <c r="AX1" s="131"/>
      <c r="AY1" s="131"/>
      <c r="AZ1" s="131"/>
      <c r="BA1" s="131"/>
      <c r="BB1" s="131"/>
      <c r="BC1" s="131"/>
      <c r="BD1" s="131"/>
      <c r="BE1" s="131"/>
      <c r="BF1" s="131"/>
      <c r="BG1" s="131"/>
      <c r="BH1" s="131"/>
      <c r="BI1" s="131"/>
      <c r="BJ1" s="131"/>
      <c r="BK1" s="131"/>
      <c r="BL1" s="131"/>
      <c r="BM1" s="131"/>
      <c r="BN1" s="131"/>
      <c r="BO1" s="131"/>
      <c r="BP1" s="131"/>
      <c r="BQ1" s="131"/>
      <c r="BR1" s="131"/>
      <c r="BS1" s="131"/>
      <c r="BT1" s="131"/>
      <c r="BU1" s="131"/>
      <c r="BV1" s="131"/>
      <c r="BW1" s="131"/>
      <c r="BX1" s="131"/>
      <c r="BY1" s="131"/>
      <c r="BZ1" s="131"/>
      <c r="CA1" s="131"/>
      <c r="CB1" s="131"/>
      <c r="CC1" s="131"/>
      <c r="DQ1" s="136"/>
      <c r="DR1" s="131"/>
    </row>
    <row r="2" spans="1:122" ht="15.75" customHeight="1" thickBot="1" x14ac:dyDescent="0.3">
      <c r="B2" s="132"/>
      <c r="C2" s="132"/>
      <c r="D2" s="132"/>
      <c r="E2" s="133"/>
      <c r="F2" s="137"/>
      <c r="G2" s="137"/>
      <c r="H2" s="132"/>
      <c r="I2" s="137"/>
      <c r="J2" s="138" t="s">
        <v>12</v>
      </c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9"/>
      <c r="Y2" s="139"/>
      <c r="Z2" s="131"/>
      <c r="AA2" s="131"/>
      <c r="AB2" s="131"/>
      <c r="AC2" s="132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1"/>
      <c r="BT2" s="131"/>
      <c r="BU2" s="131"/>
      <c r="BV2" s="131"/>
      <c r="BW2" s="131"/>
      <c r="BX2" s="131"/>
      <c r="BY2" s="131"/>
      <c r="BZ2" s="131"/>
      <c r="CA2" s="131"/>
      <c r="CB2" s="131"/>
      <c r="CC2" s="131"/>
      <c r="DQ2" s="136"/>
      <c r="DR2" s="131"/>
    </row>
    <row r="3" spans="1:122" ht="15" customHeight="1" x14ac:dyDescent="0.25">
      <c r="B3" s="132"/>
      <c r="C3" s="132"/>
      <c r="D3" s="132"/>
      <c r="E3" s="133"/>
      <c r="F3" s="137"/>
      <c r="G3" s="137"/>
      <c r="H3" s="132"/>
      <c r="I3" s="137"/>
      <c r="J3" s="140">
        <v>0.3</v>
      </c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9"/>
      <c r="Y3" s="139"/>
      <c r="Z3" s="131"/>
      <c r="AA3" s="131"/>
      <c r="AB3" s="131"/>
      <c r="AC3" s="132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DQ3" s="136"/>
      <c r="DR3" s="131"/>
    </row>
    <row r="4" spans="1:122" ht="15" customHeight="1" thickBot="1" x14ac:dyDescent="0.3">
      <c r="B4" s="132"/>
      <c r="C4" s="132"/>
      <c r="D4" s="132"/>
      <c r="E4" s="133"/>
      <c r="F4" s="137"/>
      <c r="G4" s="137"/>
      <c r="H4" s="132"/>
      <c r="I4" s="137"/>
      <c r="J4" s="141">
        <v>0.3</v>
      </c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DQ4" s="136"/>
      <c r="DR4" s="131"/>
    </row>
    <row r="5" spans="1:122" ht="15.75" customHeight="1" thickBot="1" x14ac:dyDescent="0.3">
      <c r="B5" s="132"/>
      <c r="C5" s="132"/>
      <c r="D5" s="132"/>
      <c r="E5" s="133"/>
      <c r="F5" s="137"/>
      <c r="G5" s="137"/>
      <c r="H5" s="132"/>
      <c r="I5" s="137"/>
      <c r="J5" s="142"/>
      <c r="K5" s="131"/>
      <c r="L5" s="131"/>
      <c r="M5" s="131"/>
      <c r="N5" s="131"/>
      <c r="O5" s="143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9"/>
      <c r="AH5" s="139"/>
      <c r="AI5" s="139"/>
      <c r="AJ5" s="139"/>
      <c r="AK5" s="139"/>
      <c r="AL5" s="139"/>
      <c r="AM5" s="139"/>
      <c r="AN5" s="139"/>
      <c r="AO5" s="131"/>
      <c r="AP5" s="131"/>
      <c r="AQ5" s="131"/>
      <c r="AR5" s="131"/>
      <c r="AS5" s="131"/>
      <c r="AT5" s="131"/>
      <c r="AU5" s="131"/>
      <c r="AV5" s="131"/>
      <c r="AW5" s="131"/>
      <c r="AX5" s="131"/>
      <c r="AY5" s="131"/>
      <c r="AZ5" s="131"/>
      <c r="BA5" s="131"/>
      <c r="BB5" s="131"/>
      <c r="BC5" s="131"/>
      <c r="BD5" s="131"/>
      <c r="BE5" s="131"/>
      <c r="BF5" s="131"/>
      <c r="BG5" s="131"/>
      <c r="BH5" s="131"/>
      <c r="BI5" s="131"/>
      <c r="BJ5" s="131"/>
      <c r="BK5" s="131"/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DQ5" s="136"/>
      <c r="DR5" s="131"/>
    </row>
    <row r="6" spans="1:122" s="139" customFormat="1" ht="42.65" customHeight="1" thickBot="1" x14ac:dyDescent="0.4">
      <c r="A6" s="144"/>
      <c r="B6" s="226" t="s">
        <v>155</v>
      </c>
      <c r="C6" s="226"/>
      <c r="D6" s="227"/>
      <c r="E6" s="145"/>
      <c r="F6" s="146"/>
      <c r="G6" s="220" t="s">
        <v>133</v>
      </c>
      <c r="H6" s="221"/>
      <c r="I6" s="147"/>
      <c r="J6" s="148" t="s">
        <v>1</v>
      </c>
      <c r="K6" s="149" t="s">
        <v>4</v>
      </c>
      <c r="L6" s="149" t="s">
        <v>162</v>
      </c>
      <c r="M6" s="149" t="s">
        <v>23</v>
      </c>
      <c r="N6" s="149" t="s">
        <v>5</v>
      </c>
      <c r="O6" s="149" t="s">
        <v>24</v>
      </c>
      <c r="P6" s="149" t="s">
        <v>25</v>
      </c>
      <c r="Q6" s="149" t="s">
        <v>26</v>
      </c>
      <c r="R6" s="149" t="s">
        <v>27</v>
      </c>
      <c r="S6" s="149" t="s">
        <v>156</v>
      </c>
      <c r="T6" s="149" t="s">
        <v>28</v>
      </c>
      <c r="U6" s="149" t="s">
        <v>157</v>
      </c>
      <c r="V6" s="149" t="s">
        <v>158</v>
      </c>
      <c r="W6" s="149" t="s">
        <v>159</v>
      </c>
      <c r="X6" s="149" t="s">
        <v>160</v>
      </c>
      <c r="Y6" s="149" t="s">
        <v>161</v>
      </c>
      <c r="Z6" s="149" t="s">
        <v>163</v>
      </c>
      <c r="AA6" s="149" t="s">
        <v>164</v>
      </c>
      <c r="AB6" s="150"/>
    </row>
    <row r="7" spans="1:122" s="139" customFormat="1" ht="15" hidden="1" customHeight="1" thickBot="1" x14ac:dyDescent="0.4">
      <c r="A7" s="151"/>
      <c r="B7" s="152"/>
      <c r="C7" s="152"/>
      <c r="D7" s="153"/>
      <c r="E7" s="145"/>
      <c r="F7" s="146"/>
      <c r="G7" s="222" t="s">
        <v>132</v>
      </c>
      <c r="H7" s="223"/>
      <c r="I7" s="154"/>
      <c r="J7" s="155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150"/>
    </row>
    <row r="8" spans="1:122" s="139" customFormat="1" ht="15.75" customHeight="1" x14ac:dyDescent="0.35">
      <c r="A8" s="144"/>
      <c r="B8" s="228" t="str">
        <f ca="1">MID(CELL("filename",A1),FIND("]",CELL("filename",A1))+1,255)&amp;" Level Scorecard"</f>
        <v>Team Level Scorecard</v>
      </c>
      <c r="C8" s="228"/>
      <c r="D8" s="229"/>
      <c r="E8" s="145"/>
      <c r="F8" s="146"/>
      <c r="G8" s="224" t="s">
        <v>132</v>
      </c>
      <c r="H8" s="225"/>
      <c r="I8" s="158"/>
      <c r="J8" s="159" t="s">
        <v>16</v>
      </c>
      <c r="K8" s="204">
        <f>VLOOKUP(K6,Benchmark_Legend[],MATCH(ColumnT[[#This Row],[Metric]],Benchmark_Legend[#Headers],0),0)</f>
        <v>0.7</v>
      </c>
      <c r="L8" s="160">
        <f>VLOOKUP(L6,Benchmark_Legend[],MATCH(ColumnT[[#This Row],[Metric]],Benchmark_Legend[#Headers],0),0)</f>
        <v>0.98</v>
      </c>
      <c r="M8" s="161">
        <f>VLOOKUP(M6,Benchmark_Legend[],MATCH(ColumnT[[#This Row],[Metric]],Benchmark_Legend[#Headers],0),0)</f>
        <v>0.95</v>
      </c>
      <c r="N8" s="162">
        <f>VLOOKUP(N6,Benchmark_Legend[],MATCH(ColumnT[[#This Row],[Metric]],Benchmark_Legend[#Headers],0),0)</f>
        <v>0.05</v>
      </c>
      <c r="O8" s="162">
        <f>VLOOKUP(O6,Benchmark_Legend[],MATCH(ColumnT[[#This Row],[Metric]],Benchmark_Legend[#Headers],0),0)</f>
        <v>0.02</v>
      </c>
      <c r="P8" s="162">
        <f>VLOOKUP(P6,Benchmark_Legend[],MATCH(ColumnT[[#This Row],[Metric]],Benchmark_Legend[#Headers],0),0)</f>
        <v>0.02</v>
      </c>
      <c r="Q8" s="160">
        <f>VLOOKUP(Q6,Benchmark_Legend[],MATCH(ColumnT[[#This Row],[Metric]],Benchmark_Legend[#Headers],0),0)</f>
        <v>0.01</v>
      </c>
      <c r="R8" s="160">
        <f>VLOOKUP(R6,Benchmark_Legend[],MATCH(ColumnT[[#This Row],[Metric]],Benchmark_Legend[#Headers],0),0)</f>
        <v>0.01</v>
      </c>
      <c r="S8" s="160">
        <f>VLOOKUP(S6,Benchmark_Legend[],MATCH(ColumnT[[#This Row],[Metric]],Benchmark_Legend[#Headers],0),0)</f>
        <v>0.01</v>
      </c>
      <c r="T8" s="163">
        <f>VLOOKUP(T6,Benchmark_Legend[],MATCH(ColumnT[[#This Row],[Metric]],Benchmark_Legend[#Headers],0),0)</f>
        <v>0.03</v>
      </c>
      <c r="U8" s="163">
        <f>VLOOKUP(U6,Benchmark_Legend[],MATCH(ColumnT[[#This Row],[Metric]],Benchmark_Legend[#Headers],0),0)</f>
        <v>0.55000000000000004</v>
      </c>
      <c r="V8" s="163">
        <f>VLOOKUP(V6,Benchmark_Legend[],MATCH(ColumnT[[#This Row],[Metric]],Benchmark_Legend[#Headers],0),0)</f>
        <v>0.6</v>
      </c>
      <c r="W8" s="164">
        <f>VLOOKUP(W6,Benchmark_Legend[],MATCH(ColumnT[[#This Row],[Metric]],Benchmark_Legend[#Headers],0),0)</f>
        <v>0.5</v>
      </c>
      <c r="X8" s="160">
        <f>VLOOKUP(X6,Benchmark_Legend[],MATCH(ColumnT[[#This Row],[Metric]],Benchmark_Legend[#Headers],0),0)</f>
        <v>0.35</v>
      </c>
      <c r="Y8" s="162">
        <f>VLOOKUP(Y6,Benchmark_Legend[],MATCH(ColumnT[[#This Row],[Metric]],Benchmark_Legend[#Headers],0),0)</f>
        <v>0.25</v>
      </c>
      <c r="Z8" s="160">
        <f>VLOOKUP(Z6,Benchmark_Legend[],MATCH(ColumnT[[#This Row],[Metric]],Benchmark_Legend[#Headers],0),0)</f>
        <v>0.35</v>
      </c>
      <c r="AA8" s="160">
        <f>VLOOKUP(AA6,Benchmark_Legend[],MATCH(ColumnT[[#This Row],[Metric]],Benchmark_Legend[#Headers],0),0)</f>
        <v>0.25</v>
      </c>
      <c r="AB8" s="150"/>
    </row>
    <row r="9" spans="1:122" s="139" customFormat="1" ht="15.75" customHeight="1" thickBot="1" x14ac:dyDescent="0.4">
      <c r="A9" s="144"/>
      <c r="B9" s="217" t="s">
        <v>154</v>
      </c>
      <c r="C9" s="217"/>
      <c r="D9" s="218"/>
      <c r="E9" s="165"/>
      <c r="F9" s="146"/>
      <c r="G9" s="166" t="s">
        <v>14</v>
      </c>
      <c r="H9" s="167" t="s">
        <v>14</v>
      </c>
      <c r="I9" s="168"/>
      <c r="J9" s="169" t="s">
        <v>130</v>
      </c>
      <c r="K9" s="170">
        <f t="array" aca="1" ref="K9" ca="1">SUM(
IF((DataT[Measured Rate 
'[% Measured']]&lt;&gt;"NULL"),
DataT[Measured Rate 
'[% Measured']]*
SUBTOTAL(9,OFFSET(DataT[Total Impressions],ROW(DataT[Total Impressions])-MIN(ROW(DataT[Total Impressions])),0,1))))
/
SUM(
IF((DataT[Measured Rate 
'[% Measured']]&lt;&gt;"NULL"),
SUBTOTAL(9,OFFSET(DataT[Total Impressions],ROW(DataT[Total Impressions])-MIN(ROW(DataT[Total Impressions])),0,1))))</f>
        <v>0.7</v>
      </c>
      <c r="L9" s="170">
        <f t="array" aca="1" ref="L9" ca="1">SUM(
IF((DataT[See-Through Rate 
'[% Visible']]&lt;&gt;"NULL"),
DataT[See-Through Rate 
'[% Visible']]*
SUBTOTAL(9,OFFSET(DataT[Total Impressions],ROW(DataT[Total Impressions])-MIN(ROW(DataT[Total Impressions])),0,1))))
/
SUM(
IF((DataT[See-Through Rate 
'[% Visible']]&lt;&gt;"NULL"),
SUBTOTAL(9,OFFSET(DataT[Total Impressions],ROW(DataT[Total Impressions])-MIN(ROW(DataT[Total Impressions])),0,1))))</f>
        <v>0.98</v>
      </c>
      <c r="M9" s="171">
        <f t="array" aca="1" ref="M9" ca="1">SUM(
IF((DataT[Brand Safety 
'[% Passed']]&lt;&gt;"NULL"),
DataT[Brand Safety 
'[% Passed']]*
SUBTOTAL(9,OFFSET(DataT[Total Impressions],ROW(DataT[Total Impressions])-MIN(ROW(DataT[Total Impressions])),0,1))))
/
SUM(
IF((DataT[Brand Safety 
'[% Passed']]&lt;&gt;"NULL"),
SUBTOTAL(9,OFFSET(DataT[Total Impressions],ROW(DataT[Total Impressions])-MIN(ROW(DataT[Total Impressions])),0,1))))</f>
        <v>0.95</v>
      </c>
      <c r="N9" s="171">
        <f t="array" aca="1" ref="N9" ca="1">SUM(
IF((DataT[Brand Safety 
'[% Failed']]&lt;&gt;"NULL"),
DataT[Brand Safety 
'[% Failed']]*
SUBTOTAL(9,OFFSET(DataT[Total Impressions],ROW(DataT[Total Impressions])-MIN(ROW(DataT[Total Impressions])),0,1))))
/
SUM(
IF((DataT[Brand Safety 
'[% Failed']]&lt;&gt;"NULL"),
SUBTOTAL(9,OFFSET(DataT[Total Impressions],ROW(DataT[Total Impressions])-MIN(ROW(DataT[Total Impressions])),0,1))))</f>
        <v>0.05</v>
      </c>
      <c r="O9" s="171">
        <f t="array" aca="1" ref="O9" ca="1">SUM(
IF((DataT[Brand Safety 
'[% Failed by Content']]&lt;&gt;"NULL"),
DataT[Brand Safety 
'[% Failed by Content']]*
SUBTOTAL(9,OFFSET(DataT[Total Impressions],ROW(DataT[Total Impressions])-MIN(ROW(DataT[Total Impressions])),0,1))))
/
SUM(
IF((DataT[Brand Safety 
'[% Failed by Content']]&lt;&gt;"NULL"),
SUBTOTAL(9,OFFSET(DataT[Total Impressions],ROW(DataT[Total Impressions])-MIN(ROW(DataT[Total Impressions])),0,1))))</f>
        <v>0.02</v>
      </c>
      <c r="P9" s="171">
        <f t="array" aca="1" ref="P9" ca="1">SUM(
IF((DataT[Brand Safety 
'[% Failed by Geo']]&lt;&gt;"NULL"),
DataT[Brand Safety 
'[% Failed by Geo']]*
SUBTOTAL(9,OFFSET(DataT[Total Impressions],ROW(DataT[Total Impressions])-MIN(ROW(DataT[Total Impressions])),0,1))))
/
SUM(
IF((DataT[Brand Safety 
'[% Failed by Geo']]&lt;&gt;"NULL"),
SUBTOTAL(9,OFFSET(DataT[Total Impressions],ROW(DataT[Total Impressions])-MIN(ROW(DataT[Total Impressions])),0,1))))</f>
        <v>0.02</v>
      </c>
      <c r="Q9" s="170">
        <f t="array" aca="1" ref="Q9" ca="1">SUM(
IF((DataT[Brand Safety 
'[% Failed by Keyword']]&lt;&gt;"NULL"),
DataT[Brand Safety 
'[% Failed by Keyword']]*
SUBTOTAL(9,OFFSET(DataT[Total Impressions],ROW(DataT[Total Impressions])-MIN(ROW(DataT[Total Impressions])),0,1))))
/
SUM(
IF((DataT[Brand Safety 
'[% Failed by Keyword']]&lt;&gt;"NULL"),
SUBTOTAL(9,OFFSET(DataT[Total Impressions],ROW(DataT[Total Impressions])-MIN(ROW(DataT[Total Impressions])),0,1))))</f>
        <v>0.01</v>
      </c>
      <c r="R9" s="170">
        <f t="array" aca="1" ref="R9" ca="1">SUM(
IF((DataT[Brand Safety 
'[% Failed by Blacklist']]&lt;&gt;"NULL"),
DataT[Brand Safety 
'[% Failed by Blacklist']]*
SUBTOTAL(9,OFFSET(DataT[Total Impressions],ROW(DataT[Total Impressions])-MIN(ROW(DataT[Total Impressions])),0,1))))
/
SUM(
IF((DataT[Brand Safety 
'[% Failed by Blacklist']]&lt;&gt;"NULL"),
SUBTOTAL(9,OFFSET(DataT[Total Impressions],ROW(DataT[Total Impressions])-MIN(ROW(DataT[Total Impressions])),0,1))))</f>
        <v>0.01</v>
      </c>
      <c r="S9" s="170">
        <f t="array" aca="1" ref="S9" ca="1">SUM(
IF((DataT[Brand Safety 
'[% Failed by Language']]&lt;&gt;"NULL"),
DataT[Brand Safety 
'[% Failed by Language']]*
SUBTOTAL(9,OFFSET(DataT[Total Impressions],ROW(DataT[Total Impressions])-MIN(ROW(DataT[Total Impressions])),0,1))))
/
SUM(
IF((DataT[Brand Safety 
'[% Failed by Language']]&lt;&gt;"NULL"),
SUBTOTAL(9,OFFSET(DataT[Total Impressions],ROW(DataT[Total Impressions])-MIN(ROW(DataT[Total Impressions])),0,1))))</f>
        <v>0.01</v>
      </c>
      <c r="T9" s="170">
        <f t="array" aca="1" ref="T9" ca="1">SUM(
IF((DataT[Fraud 
'[% Fraud']]&lt;&gt;"NULL"),
DataT[Fraud 
'[% Fraud']]*
SUBTOTAL(9,OFFSET(DataT[Total Impressions],ROW(DataT[Total Impressions])-MIN(ROW(DataT[Total Impressions])),0,1))))
/
SUM(
IF((DataT[Fraud 
'[% Fraud']]&lt;&gt;"NULL"),
SUBTOTAL(9,OFFSET(DataT[Total Impressions],ROW(DataT[Total Impressions])-MIN(ROW(DataT[Total Impressions])),0,1))))</f>
        <v>0.03</v>
      </c>
      <c r="U9" s="170">
        <f t="array" aca="1" ref="U9" ca="1">SUM(
IF((DataT[Viewability 
'[Total Viewable Rate (Total Net Metrics)']]&lt;&gt;"NULL"),
DataT[Viewability 
'[Total Viewable Rate (Total Net Metrics)']]*SUBTOTAL(9,OFFSET(DataT[Measured Impressions],ROW(DataT[Measured Impressions])-MIN(ROW(DataT[Measured Impressions])),0,1))))
/
SUM(
IF((DataT[Viewability 
'[Total Viewable Rate (Total Net Metrics)']]&lt;&gt;"NULL"),
SUBTOTAL(9,OFFSET(DataT[Measured Impressions],ROW(DataT[Measured Impressions])-MIN(ROW(DataT[Measured Impressions])),0,1))))</f>
        <v>0.55000000000000004</v>
      </c>
      <c r="V9" s="170">
        <f t="array" aca="1" ref="V9" ca="1">SUM(
IF((DataT[Display Viewability 
'[Total Viewable Rate (Total Net Metrics)']]&lt;&gt;"NULL"),
DataT[Display Viewability 
'[Total Viewable Rate (Total Net Metrics)']]*SUBTOTAL(9,OFFSET(DataT[Measured Impressions],ROW(DataT[Measured Impressions])-MIN(ROW(DataT[Measured Impressions])),0,1))))
/
SUM(
IF((DataT[Display Viewability 
'[Total Viewable Rate (Total Net Metrics)']]&lt;&gt;"NULL"),
SUBTOTAL(9,OFFSET(DataT[Measured Impressions],ROW(DataT[Measured Impressions])-MIN(ROW(DataT[Measured Impressions])),0,1))))</f>
        <v>0.6</v>
      </c>
      <c r="W9" s="171">
        <f t="array" aca="1" ref="W9" ca="1">SUM(
IF((DataT[Video Viewability 
'[Total Viewable Rate (Total Net Metrics)']]&lt;&gt;"NULL"),
DataT[Video Viewability 
'[Total Viewable Rate (Total Net Metrics)']]*SUBTOTAL(9,OFFSET(DataT[Measured Impressions],ROW(DataT[Measured Impressions])-MIN(ROW(DataT[Measured Impressions])),0,1))))
/
SUM(
IF((DataT[Video Viewability 
'[Total Viewable Rate (Total Net Metrics)']]&lt;&gt;"NULL"),
SUBTOTAL(9,OFFSET(DataT[Measured Impressions],ROW(DataT[Measured Impressions])-MIN(ROW(DataT[Measured Impressions])),0,1))))</f>
        <v>0.5</v>
      </c>
      <c r="X9" s="170">
        <f t="array" aca="1" ref="X9" ca="1">SUM(
IF((DataT[GroupM Viewability 
'[% Display Ads Fully in View']]&lt;&gt;"NULL"),
DataT[GroupM Viewability 
'[% Display Ads Fully in View']]*SUBTOTAL(9,OFFSET(DataT[Measured Impressions],ROW(DataT[Measured Impressions])-MIN(ROW(DataT[Measured Impressions])),0,1))))
/
SUM(
IF((DataT[GroupM Viewability 
'[% Display Ads Fully in View']]&lt;&gt;"NULL"),
SUBTOTAL(9,OFFSET(DataT[Measured Impressions],ROW(DataT[Measured Impressions])-MIN(ROW(DataT[Measured Impressions])),0,1))))</f>
        <v>0.35</v>
      </c>
      <c r="Y9" s="171">
        <f t="array" aca="1" ref="Y9" ca="1">SUM(
IF((DataT[GroupM Viewability 
'[% Videos Fully in View']]&lt;&gt;"NULL"),
DataT[GroupM Viewability 
'[% Videos Fully in View']]*SUBTOTAL(9,OFFSET(DataT[Measured Impressions],ROW(DataT[Measured Impressions])-MIN(ROW(DataT[Measured Impressions])),0,1))))
/
SUM(
IF((DataT[GroupM Viewability 
'[% Videos Fully in View']]&lt;&gt;"NULL"),
SUBTOTAL(9,OFFSET(DataT[Measured Impressions],ROW(DataT[Measured Impressions])-MIN(ROW(DataT[Measured Impressions])),0,1))))</f>
        <v>0.25</v>
      </c>
      <c r="Z9" s="170">
        <f t="array" aca="1" ref="Z9" ca="1">SUM(
IF((DataT[Publicis Viewability 
'[% Display Ads Fully in View']]&lt;&gt;"NULL"),
DataT[Publicis Viewability 
'[% Display Ads Fully in View']]*SUBTOTAL(9,OFFSET(DataT[Measured Impressions],ROW(DataT[Measured Impressions])-MIN(ROW(DataT[Measured Impressions])),0,1))))
/
SUM(
IF((DataT[Publicis Viewability 
'[% Display Ads Fully in View']]&lt;&gt;"NULL"),
SUBTOTAL(9,OFFSET(DataT[Measured Impressions],ROW(DataT[Measured Impressions])-MIN(ROW(DataT[Measured Impressions])),0,1))))</f>
        <v>0.35</v>
      </c>
      <c r="AA9" s="170">
        <f t="array" aca="1" ref="AA9" ca="1">SUM(
IF((DataT[Publicis Viewability 
'[% Videos Fully in View']]&lt;&gt;"NULL"),
DataT[Publicis Viewability 
'[% Videos Fully in View']]*SUBTOTAL(9,OFFSET(DataT[Measured Impressions],ROW(DataT[Measured Impressions])-MIN(ROW(DataT[Measured Impressions])),0,1))))
/
SUM(
IF((DataT[Publicis Viewability 
'[% Videos Fully in View']]&lt;&gt;"NULL"),
SUBTOTAL(9,OFFSET(DataT[Measured Impressions],ROW(DataT[Measured Impressions])-MIN(ROW(DataT[Measured Impressions])),0,1))))</f>
        <v>0.25</v>
      </c>
      <c r="AB9" s="150"/>
    </row>
    <row r="10" spans="1:122" s="139" customFormat="1" ht="15.75" hidden="1" customHeight="1" x14ac:dyDescent="0.35">
      <c r="A10" s="151"/>
      <c r="B10" s="152"/>
      <c r="C10" s="152"/>
      <c r="D10" s="153"/>
      <c r="E10" s="145"/>
      <c r="F10" s="146"/>
      <c r="G10" s="172" t="s">
        <v>14</v>
      </c>
      <c r="H10" s="172"/>
      <c r="I10" s="151"/>
      <c r="J10" s="173" t="s">
        <v>126</v>
      </c>
      <c r="K10" s="174" t="e">
        <f t="array" aca="1" ref="K10" ca="1">SUM(
IF(DataT[Measured Rate 
'[% Measured']]&lt;&gt;"NULL",
IF(DataT[Device Type]=ColumnT[[#This Row],[Metric]],
DataT[Measured Rate 
'[% Measured']]*
SUBTOTAL(9,OFFSET(DataT[Total Impressions],ROW(DataT[Total Impressions])-MIN(ROW(DataT[Total Impressions])),0,1)))))
/
SUM(
IF(DataT[Measured Rate 
'[% Measured']]&lt;&gt;"NULL",
IF(DataT[Device Type]=ColumnT[[#This Row],[Metric]],
SUBTOTAL(9,OFFSET(DataT[Total Impressions],ROW(DataT[Total Impressions])-MIN(ROW(DataT[Total Impressions])),0,1)))))</f>
        <v>#DIV/0!</v>
      </c>
      <c r="L10" s="175" t="e">
        <f t="array" aca="1" ref="L10" ca="1">SUM(
IF(DataT[See-Through Rate 
'[% Visible']]&lt;&gt;"NULL",
IF(DataT[Device Type]=ColumnT[[#This Row],[Metric]],
DataT[See-Through Rate 
'[% Visible']]*
SUBTOTAL(9,OFFSET(DataT[Total Impressions],ROW(DataT[Total Impressions])-MIN(ROW(DataT[Total Impressions])),0,1)))))
/
SUM(
IF(DataT[See-Through Rate 
'[% Visible']]&lt;&gt;"NULL",
IF(DataT[Device Type]=ColumnT[[#This Row],[Metric]],
SUBTOTAL(9,OFFSET(DataT[Total Impressions],ROW(DataT[Total Impressions])-MIN(ROW(DataT[Total Impressions])),0,1)))))</f>
        <v>#DIV/0!</v>
      </c>
      <c r="M10" s="175" t="e">
        <f t="array" aca="1" ref="M10" ca="1">SUM(
IF(DataT[Brand Safety 
'[% Passed']]&lt;&gt;"NULL",
IF(DataT[Device Type]=ColumnT[[#This Row],[Metric]],
DataT[Brand Safety 
'[% Passed']]*
SUBTOTAL(9,OFFSET(DataT[Total Impressions],ROW(DataT[Total Impressions])-MIN(ROW(DataT[Total Impressions])),0,1)))))
/
SUM(
IF(DataT[Brand Safety 
'[% Passed']]&lt;&gt;"NULL",
IF(DataT[Device Type]=ColumnT[[#This Row],[Metric]],
SUBTOTAL(9,OFFSET(DataT[Total Impressions],ROW(DataT[Total Impressions])-MIN(ROW(DataT[Total Impressions])),0,1)))))</f>
        <v>#DIV/0!</v>
      </c>
      <c r="N10" s="175" t="e">
        <f t="array" aca="1" ref="N10" ca="1">SUM(
IF(DataT[Brand Safety 
'[% Failed']]&lt;&gt;"NULL",
IF(DataT[Device Type]=ColumnT[[#This Row],[Metric]],
DataT[Brand Safety 
'[% Failed']]*
SUBTOTAL(9,OFFSET(DataT[Total Impressions],ROW(DataT[Total Impressions])-MIN(ROW(DataT[Total Impressions])),0,1)))))
/
SUM(
IF(DataT[Brand Safety 
'[% Failed']]&lt;&gt;"NULL",
IF(DataT[Device Type]=ColumnT[[#This Row],[Metric]],
SUBTOTAL(9,OFFSET(DataT[Total Impressions],ROW(DataT[Total Impressions])-MIN(ROW(DataT[Total Impressions])),0,1)))))</f>
        <v>#DIV/0!</v>
      </c>
      <c r="O10" s="175" t="e">
        <f t="array" aca="1" ref="O10" ca="1">SUM(
IF(DataT[Brand Safety 
'[% Failed by Content']]&lt;&gt;"NULL",
IF(DataT[Device Type]=ColumnT[[#This Row],[Metric]],
DataT[Brand Safety 
'[% Failed by Content']]*
SUBTOTAL(9,OFFSET(DataT[Total Impressions],ROW(DataT[Total Impressions])-MIN(ROW(DataT[Total Impressions])),0,1)))))
/
SUM(
IF(DataT[Brand Safety 
'[% Failed by Content']]&lt;&gt;"NULL",
IF(DataT[Device Type]=ColumnT[[#This Row],[Metric]],
SUBTOTAL(9,OFFSET(DataT[Total Impressions],ROW(DataT[Total Impressions])-MIN(ROW(DataT[Total Impressions])),0,1)))))</f>
        <v>#DIV/0!</v>
      </c>
      <c r="P10" s="175" t="e">
        <f t="array" aca="1" ref="P10" ca="1">SUM(
IF(DataT[Brand Safety 
'[% Failed by Geo']]&lt;&gt;"NULL",
IF(DataT[Device Type]=ColumnT[[#This Row],[Metric]],
DataT[Brand Safety 
'[% Failed by Geo']]*
SUBTOTAL(9,OFFSET(DataT[Total Impressions],ROW(DataT[Total Impressions])-MIN(ROW(DataT[Total Impressions])),0,1)))))
/
SUM(
IF(DataT[Brand Safety 
'[% Failed by Geo']]&lt;&gt;"NULL",
IF(DataT[Device Type]=ColumnT[[#This Row],[Metric]],
SUBTOTAL(9,OFFSET(DataT[Total Impressions],ROW(DataT[Total Impressions])-MIN(ROW(DataT[Total Impressions])),0,1)))))</f>
        <v>#DIV/0!</v>
      </c>
      <c r="Q10" s="175" t="e">
        <f t="array" aca="1" ref="Q10" ca="1">SUM(
IF(DataT[Brand Safety 
'[% Failed by Keyword']]&lt;&gt;"NULL",
IF(DataT[Device Type]=ColumnT[[#This Row],[Metric]],
DataT[Brand Safety 
'[% Failed by Keyword']]*
SUBTOTAL(9,OFFSET(DataT[Total Impressions],ROW(DataT[Total Impressions])-MIN(ROW(DataT[Total Impressions])),0,1)))))
/
SUM(
IF(DataT[Brand Safety 
'[% Failed by Keyword']]&lt;&gt;"NULL",
IF(DataT[Device Type]=ColumnT[[#This Row],[Metric]],
SUBTOTAL(9,OFFSET(DataT[Total Impressions],ROW(DataT[Total Impressions])-MIN(ROW(DataT[Total Impressions])),0,1)))))</f>
        <v>#DIV/0!</v>
      </c>
      <c r="R10" s="175" t="e">
        <f t="array" aca="1" ref="R10" ca="1">SUM(
IF(DataT[Brand Safety 
'[% Failed by Blacklist']]&lt;&gt;"NULL",
IF(DataT[Device Type]=ColumnT[[#This Row],[Metric]],
DataT[Brand Safety 
'[% Failed by Blacklist']]*
SUBTOTAL(9,OFFSET(DataT[Total Impressions],ROW(DataT[Total Impressions])-MIN(ROW(DataT[Total Impressions])),0,1)))))
/
SUM(
IF(DataT[Brand Safety 
'[% Failed by Blacklist']]&lt;&gt;"NULL",
IF(DataT[Device Type]=ColumnT[[#This Row],[Metric]],
SUBTOTAL(9,OFFSET(DataT[Total Impressions],ROW(DataT[Total Impressions])-MIN(ROW(DataT[Total Impressions])),0,1)))))</f>
        <v>#DIV/0!</v>
      </c>
      <c r="S10" s="175" t="e">
        <f t="array" aca="1" ref="S10" ca="1">SUM(
IF(DataT[Brand Safety 
'[% Failed by Language']]&lt;&gt;"NULL",
IF(DataT[Device Type]=ColumnT[[#This Row],[Metric]],
DataT[Brand Safety 
'[% Failed by Language']]*
SUBTOTAL(9,OFFSET(DataT[Total Impressions],ROW(DataT[Total Impressions])-MIN(ROW(DataT[Total Impressions])),0,1)))))
/
SUM(
IF(DataT[Brand Safety 
'[% Failed by Language']]&lt;&gt;"NULL",
IF(DataT[Device Type]=ColumnT[[#This Row],[Metric]],
SUBTOTAL(9,OFFSET(DataT[Total Impressions],ROW(DataT[Total Impressions])-MIN(ROW(DataT[Total Impressions])),0,1)))))</f>
        <v>#DIV/0!</v>
      </c>
      <c r="T10" s="175" t="e">
        <f t="array" aca="1" ref="T10" ca="1">SUM(
IF(DataT[Fraud 
'[% Fraud']]&lt;&gt;"NULL",
IF(DataT[Device Type]=ColumnT[[#This Row],[Metric]],
DataT[Fraud 
'[% Fraud']]*
SUBTOTAL(9,OFFSET(DataT[Total Impressions],ROW(DataT[Total Impressions])-MIN(ROW(DataT[Total Impressions])),0,1)))))
/
SUM(
IF(DataT[Fraud 
'[% Fraud']]&lt;&gt;"NULL",
IF(DataT[Device Type]=ColumnT[[#This Row],[Metric]],
SUBTOTAL(9,OFFSET(DataT[Total Impressions],ROW(DataT[Total Impressions])-MIN(ROW(DataT[Total Impressions])),0,1)))))</f>
        <v>#DIV/0!</v>
      </c>
      <c r="U10" s="175" t="e">
        <f t="array" aca="1" ref="U10" ca="1">SUM(
IF(DataT[Viewability 
'[Total Viewable Rate (Total Net Metrics)']]&lt;&gt;"NULL",
IF(DataT[Device Type]=ColumnT[[#This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V10" s="175" t="e">
        <f t="array" aca="1" ref="V10" ca="1">SUM(
IF(DataT[Display Viewability 
'[Total Viewable Rate (Total Net Metrics)']]&lt;&gt;"NULL",
IF(DataT[Device Type]=ColumnT[[#This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W10" s="175" t="e">
        <f t="array" aca="1" ref="W10" ca="1">SUM(
IF(DataT[Video Viewability 
'[Total Viewable Rate (Total Net Metrics)']]&lt;&gt;"NULL",
IF(DataT[Device Type]=ColumnT[[#This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IF(DataT[Device Type]=ColumnT[[#This Row],[Metric]],
SUBTOTAL(9,OFFSET(DataT[Total Impressions],ROW(DataT[Total Impressions])-MIN(ROW(DataT[Total Impressions])),0,1)))))</f>
        <v>#DIV/0!</v>
      </c>
      <c r="X10" s="175" t="e">
        <f t="array" aca="1" ref="X10" ca="1">SUM(
IF(DataT[GroupM Viewability 
'[% Display Ads Fully in View']]&lt;&gt;"NULL",
IF(DataT[Device Type]=ColumnT[[#This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Y10" s="175" t="e">
        <f t="array" aca="1" ref="Y10" ca="1">SUM(
IF(DataT[GroupM Viewability 
'[% Videos Fully in View']]&lt;&gt;"NULL",
IF(DataT[Device Type]=ColumnT[[#This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IF(DataT[Device Type]=ColumnT[[#This Row],[Metric]],
SUBTOTAL(9,OFFSET(DataT[Total Impressions],ROW(DataT[Total Impressions])-MIN(ROW(DataT[Total Impressions])),0,1)))))</f>
        <v>#DIV/0!</v>
      </c>
      <c r="Z10" s="175" t="e">
        <f t="array" aca="1" ref="Z10" ca="1">SUM(
IF(DataT[Publicis Viewability 
'[% Display Ads Fully in View']]&lt;&gt;"NULL",
IF(DataT[Device Type]=ColumnT[[#This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IF(DataT[Device Type]=ColumnT[[#This Row],[Metric]],
SUBTOTAL(9,OFFSET(DataT[Total Impressions],ROW(DataT[Total Impressions])-MIN(ROW(DataT[Total Impressions])),0,1)))))</f>
        <v>#DIV/0!</v>
      </c>
      <c r="AA10" s="175" t="e">
        <f t="array" aca="1" ref="AA10" ca="1">SUM(
IF(DataT[Publicis Viewability 
'[% Videos Fully in View']]&lt;&gt;"NULL",
IF(DataT[Device Type]=ColumnT[[#This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IF(DataT[Device Type]=ColumnT[[#This Row],[Metric]],
SUBTOTAL(9,OFFSET(DataT[Total Impressions],ROW(DataT[Total Impressions])-MIN(ROW(DataT[Total Impressions])),0,1)))))</f>
        <v>#DIV/0!</v>
      </c>
      <c r="AB10" s="150"/>
    </row>
    <row r="11" spans="1:122" s="139" customFormat="1" ht="16" hidden="1" customHeight="1" x14ac:dyDescent="0.35">
      <c r="A11" s="176"/>
      <c r="B11" s="177"/>
      <c r="C11" s="177"/>
      <c r="D11" s="178"/>
      <c r="E11" s="145"/>
      <c r="F11" s="146"/>
      <c r="G11" s="172" t="s">
        <v>14</v>
      </c>
      <c r="H11" s="172"/>
      <c r="I11" s="151"/>
      <c r="J11" s="173" t="s">
        <v>140</v>
      </c>
      <c r="K11" s="174" t="e">
        <f t="array" aca="1" ref="K11" ca="1">SUM(
IF(DataT[Measured Rate 
'[% Measured']]&lt;&gt;"NULL",
IF(DataT[Region (Team)]=ColumnT[[#This Row],[Metric]],
DataT[Measured Rate 
'[% Measured']]*
SUBTOTAL(9,OFFSET(DataT[Total Impressions],ROW(DataT[Total Impressions])-MIN(ROW(DataT[Total Impressions])),0,1)))))
/
SUM(
IF(DataT[Measured Rate 
'[% Measured']]&lt;&gt;"NULL",
IF(DataT[Region (Team)]=ColumnT[[#This Row],[Metric]],
SUBTOTAL(9,OFFSET(DataT[Total Impressions],ROW(DataT[Total Impressions])-MIN(ROW(DataT[Total Impressions])),0,1)))))</f>
        <v>#DIV/0!</v>
      </c>
      <c r="L11" s="175" t="e">
        <f t="array" aca="1" ref="L11" ca="1">SUM(
IF(DataT[See-Through Rate 
'[% Visible']]&lt;&gt;"NULL",
IF(DataT[Region (Team)]=ColumnT[[#This Row],[Metric]],
DataT[See-Through Rate 
'[% Visible']]*
SUBTOTAL(9,OFFSET(DataT[Total Impressions],ROW(DataT[Total Impressions])-MIN(ROW(DataT[Total Impressions])),0,1)))))
/
SUM(
IF(DataT[See-Through Rate 
'[% Visible']]&lt;&gt;"NULL",
IF(DataT[Region (Team)]=ColumnT[[#This Row],[Metric]],
SUBTOTAL(9,OFFSET(DataT[Total Impressions],ROW(DataT[Total Impressions])-MIN(ROW(DataT[Total Impressions])),0,1)))))</f>
        <v>#DIV/0!</v>
      </c>
      <c r="M11" s="175" t="e">
        <f t="array" aca="1" ref="M11" ca="1">SUM(
IF(DataT[Brand Safety 
'[% Passed']]&lt;&gt;"NULL",
IF(DataT[Region (Team)]=ColumnT[[#This Row],[Metric]],
DataT[Brand Safety 
'[% Passed']]*
SUBTOTAL(9,OFFSET(DataT[Total Impressions],ROW(DataT[Total Impressions])-MIN(ROW(DataT[Total Impressions])),0,1)))))
/
SUM(
IF(DataT[Brand Safety 
'[% Passed']]&lt;&gt;"NULL",
IF(DataT[Region (Team)]=ColumnT[[#This Row],[Metric]],
SUBTOTAL(9,OFFSET(DataT[Total Impressions],ROW(DataT[Total Impressions])-MIN(ROW(DataT[Total Impressions])),0,1)))))</f>
        <v>#DIV/0!</v>
      </c>
      <c r="N11" s="175" t="e">
        <f t="array" aca="1" ref="N11" ca="1">SUM(
IF(DataT[Brand Safety 
'[% Failed']]&lt;&gt;"NULL",
IF(DataT[Region (Team)]=ColumnT[[#This Row],[Metric]],
DataT[Brand Safety 
'[% Failed']]*
SUBTOTAL(9,OFFSET(DataT[Total Impressions],ROW(DataT[Total Impressions])-MIN(ROW(DataT[Total Impressions])),0,1)))))
/
SUM(
IF(DataT[Brand Safety 
'[% Failed']]&lt;&gt;"NULL",
IF(DataT[Region (Team)]=ColumnT[[#This Row],[Metric]],
SUBTOTAL(9,OFFSET(DataT[Total Impressions],ROW(DataT[Total Impressions])-MIN(ROW(DataT[Total Impressions])),0,1)))))</f>
        <v>#DIV/0!</v>
      </c>
      <c r="O11" s="175" t="e">
        <f t="array" aca="1" ref="O11" ca="1">SUM(
IF(DataT[Brand Safety 
'[% Failed by Content']]&lt;&gt;"NULL",
IF(DataT[Region (Team)]=ColumnT[[#This Row],[Metric]],
DataT[Brand Safety 
'[% Failed by Content']]*
SUBTOTAL(9,OFFSET(DataT[Total Impressions],ROW(DataT[Total Impressions])-MIN(ROW(DataT[Total Impressions])),0,1)))))
/
SUM(
IF(DataT[Brand Safety 
'[% Failed by Content']]&lt;&gt;"NULL",
IF(DataT[Region (Team)]=ColumnT[[#This Row],[Metric]],
SUBTOTAL(9,OFFSET(DataT[Total Impressions],ROW(DataT[Total Impressions])-MIN(ROW(DataT[Total Impressions])),0,1)))))</f>
        <v>#DIV/0!</v>
      </c>
      <c r="P11" s="175" t="e">
        <f t="array" aca="1" ref="P11" ca="1">SUM(
IF(DataT[Brand Safety 
'[% Failed by Geo']]&lt;&gt;"NULL",
IF(DataT[Region (Team)]=ColumnT[[#This Row],[Metric]],
DataT[Brand Safety 
'[% Failed by Geo']]*
SUBTOTAL(9,OFFSET(DataT[Total Impressions],ROW(DataT[Total Impressions])-MIN(ROW(DataT[Total Impressions])),0,1)))))
/
SUM(
IF(DataT[Brand Safety 
'[% Failed by Geo']]&lt;&gt;"NULL",
IF(DataT[Region (Team)]=ColumnT[[#This Row],[Metric]],
SUBTOTAL(9,OFFSET(DataT[Total Impressions],ROW(DataT[Total Impressions])-MIN(ROW(DataT[Total Impressions])),0,1)))))</f>
        <v>#DIV/0!</v>
      </c>
      <c r="Q11" s="175" t="e">
        <f t="array" aca="1" ref="Q11" ca="1">SUM(
IF(DataT[Brand Safety 
'[% Failed by Keyword']]&lt;&gt;"NULL",
IF(DataT[Region (Team)]=ColumnT[[#This Row],[Metric]],
DataT[Brand Safety 
'[% Failed by Keyword']]*
SUBTOTAL(9,OFFSET(DataT[Total Impressions],ROW(DataT[Total Impressions])-MIN(ROW(DataT[Total Impressions])),0,1)))))
/
SUM(
IF(DataT[Brand Safety 
'[% Failed by Keyword']]&lt;&gt;"NULL",
IF(DataT[Region (Team)]=ColumnT[[#This Row],[Metric]],
SUBTOTAL(9,OFFSET(DataT[Total Impressions],ROW(DataT[Total Impressions])-MIN(ROW(DataT[Total Impressions])),0,1)))))</f>
        <v>#DIV/0!</v>
      </c>
      <c r="R11" s="175" t="e">
        <f t="array" aca="1" ref="R11" ca="1">SUM(
IF(DataT[Brand Safety 
'[% Failed by Blacklist']]&lt;&gt;"NULL",
IF(DataT[Region (Team)]=ColumnT[[#This Row],[Metric]],
DataT[Brand Safety 
'[% Failed by Blacklist']]*
SUBTOTAL(9,OFFSET(DataT[Total Impressions],ROW(DataT[Total Impressions])-MIN(ROW(DataT[Total Impressions])),0,1)))))
/
SUM(
IF(DataT[Brand Safety 
'[% Failed by Blacklist']]&lt;&gt;"NULL",
IF(DataT[Region (Team)]=ColumnT[[#This Row],[Metric]],
SUBTOTAL(9,OFFSET(DataT[Total Impressions],ROW(DataT[Total Impressions])-MIN(ROW(DataT[Total Impressions])),0,1)))))</f>
        <v>#DIV/0!</v>
      </c>
      <c r="S11" s="175" t="e">
        <f t="array" aca="1" ref="S11" ca="1">SUM(
IF(DataT[Brand Safety 
'[% Failed by Language']]&lt;&gt;"NULL",
IF(DataT[Region (Team)]=ColumnT[[#This Row],[Metric]],
DataT[Brand Safety 
'[% Failed by Language']]*
SUBTOTAL(9,OFFSET(DataT[Total Impressions],ROW(DataT[Total Impressions])-MIN(ROW(DataT[Total Impressions])),0,1)))))
/
SUM(
IF(DataT[Brand Safety 
'[% Failed by Language']]&lt;&gt;"NULL",
IF(DataT[Region (Team)]=ColumnT[[#This Row],[Metric]],
SUBTOTAL(9,OFFSET(DataT[Total Impressions],ROW(DataT[Total Impressions])-MIN(ROW(DataT[Total Impressions])),0,1)))))</f>
        <v>#DIV/0!</v>
      </c>
      <c r="T11" s="175" t="e">
        <f t="array" aca="1" ref="T11" ca="1">SUM(
IF(DataT[Fraud 
'[% Fraud']]&lt;&gt;"NULL",
IF(DataT[Region (Team)]=ColumnT[[#This Row],[Metric]],
DataT[Fraud 
'[% Fraud']]*
SUBTOTAL(9,OFFSET(DataT[Total Impressions],ROW(DataT[Total Impressions])-MIN(ROW(DataT[Total Impressions])),0,1)))))
/
SUM(
IF(DataT[Fraud 
'[% Fraud']]&lt;&gt;"NULL",
IF(DataT[Region (Team)]=ColumnT[[#This Row],[Metric]],
SUBTOTAL(9,OFFSET(DataT[Total Impressions],ROW(DataT[Total Impressions])-MIN(ROW(DataT[Total Impressions])),0,1)))))</f>
        <v>#DIV/0!</v>
      </c>
      <c r="U11" s="175" t="e">
        <f t="array" aca="1" ref="U11" ca="1">SUM(
IF(DataT[Viewability 
'[Total Viewable Rate (Total Net Metrics)']]&lt;&gt;"NULL",
IF(DataT[Region (Team)]=ColumnT[[#This Row],[Metric]],
DataT[Viewability 
'[Total Viewable Rate (Total Net Metrics)']]*
SUBTOTAL(9,OFFSET(DataT[Total Impressions],ROW(DataT[Total Impressions])-MIN(ROW(DataT[Total Impressions])),0,1)))))
/
SUM(
IF(DataT[Viewability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V11" s="175" t="e">
        <f t="array" aca="1" ref="V11" ca="1">SUM(
IF(DataT[Display Viewability 
'[Total Viewable Rate (Total Net Metrics)']]&lt;&gt;"NULL",
IF(DataT[Region (Team)]=ColumnT[[#This Row],[Metric]],
DataT[Display Viewability 
'[Total Viewable Rate (Total Net Metrics)']]*
SUBTOTAL(9,OFFSET(DataT[Total Impressions],ROW(DataT[Total Impressions])-MIN(ROW(DataT[Total Impressions])),0,1)))))
/
SUM(
IF(DataT[Display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W11" s="175" t="e">
        <f t="array" aca="1" ref="W11" ca="1">SUM(
IF(DataT[Video Viewability 
'[Total Viewable Rate (Total Net Metrics)']]&lt;&gt;"NULL",
IF(DataT[Region (Team)]=ColumnT[[#This Row],[Metric]],
DataT[Video Viewability 
'[Total Viewable Rate (Total Net Metrics)']]*
SUBTOTAL(9,OFFSET(DataT[Total Impressions],ROW(DataT[Total Impressions])-MIN(ROW(DataT[Total Impressions])),0,1)))))
/
SUM(
IF(DataT[Video Viewability 
'[Total Viewable Rate (Total Net Metrics)']]&lt;&gt;"NULL",
IF(DataT[Region (Team)]=ColumnT[[#This Row],[Metric]],
SUBTOTAL(9,OFFSET(DataT[Total Impressions],ROW(DataT[Total Impressions])-MIN(ROW(DataT[Total Impressions])),0,1)))))</f>
        <v>#DIV/0!</v>
      </c>
      <c r="X11" s="175" t="e">
        <f t="array" aca="1" ref="X11" ca="1">SUM(
IF(DataT[GroupM Viewability 
'[% Display Ads Fully in View']]&lt;&gt;"NULL",
IF(DataT[Region (Team)]=ColumnT[[#This Row],[Metric]],
DataT[GroupM Viewability 
'[% Display Ads Fully in View']]*
SUBTOTAL(9,OFFSET(DataT[Total Impressions],ROW(DataT[Total Impressions])-MIN(ROW(DataT[Total Impressions])),0,1)))))
/
SUM(
IF(DataT[GroupM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Y11" s="175" t="e">
        <f t="array" aca="1" ref="Y11" ca="1">SUM(
IF(DataT[GroupM Viewability 
'[% Videos Fully in View']]&lt;&gt;"NULL",
IF(DataT[Region (Team)]=ColumnT[[#This Row],[Metric]],
DataT[GroupM Viewability 
'[% Videos Fully in View']]*
SUBTOTAL(9,OFFSET(DataT[Total Impressions],ROW(DataT[Total Impressions])-MIN(ROW(DataT[Total Impressions])),0,1)))))
/
SUM(
IF(DataT[GroupM Viewability 
'[% Videos Fully in View']]&lt;&gt;"NULL",
IF(DataT[Region (Team)]=ColumnT[[#This Row],[Metric]],
SUBTOTAL(9,OFFSET(DataT[Total Impressions],ROW(DataT[Total Impressions])-MIN(ROW(DataT[Total Impressions])),0,1)))))</f>
        <v>#DIV/0!</v>
      </c>
      <c r="Z11" s="175" t="e">
        <f t="array" aca="1" ref="Z11" ca="1">SUM(
IF(DataT[Publicis Viewability 
'[% Display Ads Fully in View']]&lt;&gt;"NULL",
IF(DataT[Region (Team)]=ColumnT[[#This Row],[Metric]],
DataT[Publicis Viewability 
'[% Display Ads Fully in View']]*
SUBTOTAL(9,OFFSET(DataT[Total Impressions],ROW(DataT[Total Impressions])-MIN(ROW(DataT[Total Impressions])),0,1)))))
/
SUM(
IF(DataT[Publicis Viewability 
'[% Display Ads Fully in View']]&lt;&gt;"NULL",
IF(DataT[Region (Team)]=ColumnT[[#This Row],[Metric]],
SUBTOTAL(9,OFFSET(DataT[Total Impressions],ROW(DataT[Total Impressions])-MIN(ROW(DataT[Total Impressions])),0,1)))))</f>
        <v>#DIV/0!</v>
      </c>
      <c r="AA11" s="175" t="e">
        <f t="array" aca="1" ref="AA11" ca="1">SUM(
IF(DataT[Publicis Viewability 
'[% Videos Fully in View']]&lt;&gt;"NULL",
IF(DataT[Region (Team)]=ColumnT[[#This Row],[Metric]],
DataT[Publicis Viewability 
'[% Videos Fully in View']]*
SUBTOTAL(9,OFFSET(DataT[Total Impressions],ROW(DataT[Total Impressions])-MIN(ROW(DataT[Total Impressions])),0,1)))))
/
SUM(
IF(DataT[Publicis Viewability 
'[% Videos Fully in View']]&lt;&gt;"NULL",
IF(DataT[Region (Team)]=ColumnT[[#This Row],[Metric]],
SUBTOTAL(9,OFFSET(DataT[Total Impressions],ROW(DataT[Total Impressions])-MIN(ROW(DataT[Total Impressions])),0,1)))))</f>
        <v>#DIV/0!</v>
      </c>
      <c r="AB11" s="150"/>
    </row>
    <row r="12" spans="1:122" s="139" customFormat="1" ht="16.5" hidden="1" customHeight="1" x14ac:dyDescent="0.35">
      <c r="A12" s="151"/>
      <c r="B12" s="152"/>
      <c r="C12" s="152"/>
      <c r="D12" s="153"/>
      <c r="E12" s="145"/>
      <c r="F12" s="146"/>
      <c r="G12" s="219" t="s">
        <v>8</v>
      </c>
      <c r="H12" s="219"/>
      <c r="I12" s="151"/>
      <c r="J12" s="179" t="s">
        <v>7</v>
      </c>
      <c r="K12" s="180"/>
      <c r="L12" s="180"/>
      <c r="M12" s="181"/>
      <c r="N12" s="180"/>
      <c r="O12" s="180"/>
      <c r="P12" s="180"/>
      <c r="Q12" s="180"/>
      <c r="R12" s="180"/>
      <c r="S12" s="180"/>
      <c r="T12" s="180"/>
      <c r="U12" s="180"/>
      <c r="V12" s="180"/>
      <c r="W12" s="175"/>
      <c r="X12" s="180"/>
      <c r="Y12" s="180"/>
      <c r="Z12" s="180"/>
      <c r="AA12" s="180"/>
      <c r="AB12" s="150"/>
    </row>
    <row r="13" spans="1:122" s="139" customFormat="1" ht="15.75" hidden="1" customHeight="1" x14ac:dyDescent="0.35">
      <c r="A13" s="144"/>
      <c r="B13" s="182"/>
      <c r="C13" s="182"/>
      <c r="D13" s="183"/>
      <c r="E13" s="184"/>
      <c r="F13" s="146"/>
      <c r="G13" s="219" t="s">
        <v>8</v>
      </c>
      <c r="H13" s="219"/>
      <c r="I13" s="151"/>
      <c r="J13" s="185" t="s">
        <v>6</v>
      </c>
      <c r="K13" s="186">
        <v>0</v>
      </c>
      <c r="L13" s="186">
        <v>0</v>
      </c>
      <c r="M13" s="186">
        <v>0</v>
      </c>
      <c r="N13" s="186">
        <v>0</v>
      </c>
      <c r="O13" s="186">
        <v>0</v>
      </c>
      <c r="P13" s="186">
        <v>0</v>
      </c>
      <c r="Q13" s="186">
        <v>1</v>
      </c>
      <c r="R13" s="186">
        <v>0</v>
      </c>
      <c r="S13" s="186">
        <v>0</v>
      </c>
      <c r="T13" s="186">
        <v>0</v>
      </c>
      <c r="U13" s="186">
        <v>0</v>
      </c>
      <c r="V13" s="186">
        <v>0</v>
      </c>
      <c r="W13" s="186">
        <v>0</v>
      </c>
      <c r="X13" s="186">
        <v>0</v>
      </c>
      <c r="Y13" s="186">
        <v>0</v>
      </c>
      <c r="Z13" s="186">
        <v>0</v>
      </c>
      <c r="AA13" s="186">
        <v>0</v>
      </c>
      <c r="AB13" s="150"/>
    </row>
    <row r="14" spans="1:122" s="139" customFormat="1" ht="15.75" customHeight="1" thickBot="1" x14ac:dyDescent="0.4">
      <c r="B14" s="144"/>
      <c r="C14" s="187"/>
      <c r="D14" s="144"/>
      <c r="E14" s="188"/>
      <c r="F14" s="134" t="s">
        <v>21</v>
      </c>
      <c r="G14" s="134" t="s">
        <v>21</v>
      </c>
      <c r="H14" s="187"/>
      <c r="I14" s="134" t="s">
        <v>21</v>
      </c>
      <c r="J14" s="189"/>
      <c r="K14" s="190"/>
      <c r="L14" s="190"/>
      <c r="M14" s="190"/>
      <c r="N14" s="190"/>
      <c r="O14" s="190"/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89"/>
      <c r="AA14" s="189"/>
      <c r="AB14" s="189"/>
      <c r="AC14" s="189"/>
      <c r="AD14" s="189"/>
      <c r="AE14" s="189"/>
      <c r="DQ14" s="150"/>
    </row>
    <row r="15" spans="1:122" s="142" customFormat="1" ht="42.75" customHeight="1" thickBot="1" x14ac:dyDescent="0.3">
      <c r="B15" s="191" t="s">
        <v>151</v>
      </c>
      <c r="C15" s="192" t="s">
        <v>20</v>
      </c>
      <c r="D15" s="193" t="s">
        <v>9</v>
      </c>
      <c r="E15" s="193" t="s">
        <v>141</v>
      </c>
      <c r="F15" s="193" t="s">
        <v>22</v>
      </c>
      <c r="G15" s="193" t="s">
        <v>38</v>
      </c>
      <c r="H15" s="149" t="s">
        <v>19</v>
      </c>
      <c r="I15" s="194" t="s">
        <v>11</v>
      </c>
      <c r="J15" s="195" t="s">
        <v>13</v>
      </c>
      <c r="K15" s="195" t="s">
        <v>4</v>
      </c>
      <c r="L15" s="195" t="s">
        <v>162</v>
      </c>
      <c r="M15" s="195" t="s">
        <v>23</v>
      </c>
      <c r="N15" s="195" t="s">
        <v>5</v>
      </c>
      <c r="O15" s="195" t="s">
        <v>24</v>
      </c>
      <c r="P15" s="195" t="s">
        <v>25</v>
      </c>
      <c r="Q15" s="195" t="s">
        <v>26</v>
      </c>
      <c r="R15" s="195" t="s">
        <v>27</v>
      </c>
      <c r="S15" s="195" t="s">
        <v>156</v>
      </c>
      <c r="T15" s="195" t="s">
        <v>28</v>
      </c>
      <c r="U15" s="195" t="s">
        <v>157</v>
      </c>
      <c r="V15" s="195" t="s">
        <v>158</v>
      </c>
      <c r="W15" s="195" t="s">
        <v>159</v>
      </c>
      <c r="X15" s="195" t="s">
        <v>160</v>
      </c>
      <c r="Y15" s="149" t="s">
        <v>161</v>
      </c>
      <c r="Z15" s="149" t="s">
        <v>163</v>
      </c>
      <c r="AA15" s="149" t="s">
        <v>164</v>
      </c>
    </row>
    <row r="16" spans="1:122" s="132" customFormat="1" ht="15" customHeight="1" thickBot="1" x14ac:dyDescent="0.3">
      <c r="B16" s="196" t="str">
        <f>IFERROR(
IF(DataT[[#Headers],[Region (Team)]]="Brand",VLOOKUP(DataT[[#This Row],[Campaign]],Map_Campaign[],2,0),
IF(DataT[[#Headers],[Region (Team)]]="Region (Team)",VLOOKUP(DataT[[#This Row],[Team]],Map_Team[],2,0),
IF(DataT[[#Headers],[Region (Team)]]="Region (Campaign)",VLOOKUP(DataT[[#This Row],[Campaign]],Map_Campaign[],3,0),
IF(DataT[[#Headers],[Region (Team)]]="Partner Type",VLOOKUP(DataT[[#This Row],[Partner]],Map_Partner[],2,0),
IF(DataT[[#Headers],[Region (Team)]]="Device Type",VLOOKUP(DataT[[#This Row],[Placement]],Map_Placement[],3,0),
IF(DataT[[#Headers],[Region (Team)]]="Creative Size",VLOOKUP(DataT[[#This Row],[Placement]],Map_Placement[],2,0),"Not a mapping option.")))))),
"[Unmapped]")</f>
        <v>USA</v>
      </c>
      <c r="C16" s="197" t="s">
        <v>35</v>
      </c>
      <c r="D16" s="198" t="s">
        <v>10</v>
      </c>
      <c r="E16" s="198" t="s">
        <v>10</v>
      </c>
      <c r="F16" s="198" t="s">
        <v>10</v>
      </c>
      <c r="G16" s="198" t="s">
        <v>10</v>
      </c>
      <c r="H16" s="198" t="s">
        <v>124</v>
      </c>
      <c r="I16" s="199">
        <v>292953764</v>
      </c>
      <c r="J16" s="200">
        <v>450881961</v>
      </c>
      <c r="K16" s="201">
        <v>0.7</v>
      </c>
      <c r="L16" s="201">
        <v>0.98</v>
      </c>
      <c r="M16" s="201">
        <v>0.95</v>
      </c>
      <c r="N16" s="201">
        <v>0.05</v>
      </c>
      <c r="O16" s="201">
        <v>0.02</v>
      </c>
      <c r="P16" s="201">
        <v>0.02</v>
      </c>
      <c r="Q16" s="201">
        <v>0.01</v>
      </c>
      <c r="R16" s="201">
        <v>0.01</v>
      </c>
      <c r="S16" s="201">
        <v>0.01</v>
      </c>
      <c r="T16" s="201">
        <v>0.03</v>
      </c>
      <c r="U16" s="201">
        <v>0.55000000000000004</v>
      </c>
      <c r="V16" s="201">
        <v>0.6</v>
      </c>
      <c r="W16" s="201">
        <v>0.5</v>
      </c>
      <c r="X16" s="201">
        <v>0.35</v>
      </c>
      <c r="Y16" s="201">
        <v>0.25</v>
      </c>
      <c r="Z16" s="201">
        <v>0.35</v>
      </c>
      <c r="AA16" s="201">
        <v>0.25</v>
      </c>
    </row>
    <row r="21" spans="7:8" ht="15" customHeight="1" x14ac:dyDescent="0.25">
      <c r="G21" s="202"/>
      <c r="H21" s="202"/>
    </row>
  </sheetData>
  <sheetProtection formatCells="0" insertColumns="0" insertRows="0" insertHyperlinks="0" deleteColumns="0" deleteRows="0" selectLockedCells="1" sort="0" autoFilter="0" pivotTables="0"/>
  <mergeCells count="8">
    <mergeCell ref="B9:D9"/>
    <mergeCell ref="G12:H12"/>
    <mergeCell ref="G13:H13"/>
    <mergeCell ref="G6:H6"/>
    <mergeCell ref="G7:H7"/>
    <mergeCell ref="G8:H8"/>
    <mergeCell ref="B6:D6"/>
    <mergeCell ref="B8:D8"/>
  </mergeCells>
  <conditionalFormatting sqref="K16:AA16">
    <cfRule type="cellIs" dxfId="550" priority="4" operator="equal">
      <formula>""</formula>
    </cfRule>
  </conditionalFormatting>
  <conditionalFormatting sqref="A9:G9 A1:XFD8 I9:XFD9 A10:XFD1048576">
    <cfRule type="expression" dxfId="549" priority="3">
      <formula>ISERROR(A1)</formula>
    </cfRule>
  </conditionalFormatting>
  <conditionalFormatting sqref="K9:AA11 K16:AA16">
    <cfRule type="expression" dxfId="548" priority="6">
      <formula>IF(K$7="N/A",0,IF(K$7="Above",K9&lt;=(1-$J$4)*K$8,K9&gt;=(1+$J$4)*K$8))</formula>
    </cfRule>
    <cfRule type="expression" dxfId="547" priority="7">
      <formula>IF(OR(K$7="N/A",K9=0),0,IF(K$7="Above",K9&gt;=(1+$J$3)*K$8,K9&lt;=(1-$J$3)*K$8))</formula>
    </cfRule>
  </conditionalFormatting>
  <conditionalFormatting sqref="H9">
    <cfRule type="expression" dxfId="546" priority="1">
      <formula>ISERROR(H9)</formula>
    </cfRule>
  </conditionalFormatting>
  <dataValidations disablePrompts="1" count="7">
    <dataValidation allowBlank="1" showInputMessage="1" showErrorMessage="1" errorTitle="Invalid Entry" error="Please select/enter a value from 1 to 5 from the dropdown." sqref="J11 K10:AA11 G9:G11 AB12:XFD13 J9 A13:E13 H9" xr:uid="{00000000-0002-0000-0000-000000000000}"/>
    <dataValidation type="list" allowBlank="1" showInputMessage="1" showErrorMessage="1" errorTitle="Invalid Entry" error="Please select/enter a value from 1 to 5 from the dropdown." sqref="J10" xr:uid="{00000000-0002-0000-00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0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0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000-000005000000}"/>
    <dataValidation allowBlank="1" showInputMessage="1" showErrorMessage="1" prompt="Cell will highlight red if performance deviates by more than this percentage of the client goal." sqref="J4" xr:uid="{00000000-0002-0000-0000-000006000000}"/>
    <dataValidation type="list" allowBlank="1" showInputMessage="1" showErrorMessage="1" sqref="Y27" xr:uid="{00000000-0002-0000-00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7661568D-FBA6-44F1-9562-148F8342E9C4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Q30"/>
  <sheetViews>
    <sheetView showGridLines="0" tabSelected="1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D17" sqref="D17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7265625" style="50" customWidth="1"/>
    <col min="5" max="5" width="60.7265625" style="50" hidden="1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13" t="s">
        <v>21</v>
      </c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16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16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16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16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80" t="s">
        <v>155</v>
      </c>
      <c r="E6" s="82"/>
      <c r="F6" s="28"/>
      <c r="G6" s="230" t="s">
        <v>133</v>
      </c>
      <c r="H6" s="23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16"/>
      <c r="B7" s="28"/>
      <c r="C7" s="28"/>
      <c r="D7" s="28"/>
      <c r="E7" s="28"/>
      <c r="F7" s="28"/>
      <c r="G7" s="239" t="s">
        <v>132</v>
      </c>
      <c r="H7" s="24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B8" s="70"/>
      <c r="C8" s="70"/>
      <c r="D8" s="81" t="str">
        <f ca="1">MID(CELL("filename",A1),FIND("]",CELL("filename",A1))+1,255)&amp;" Level Scorecard"</f>
        <v>Campaign Level Scorecard</v>
      </c>
      <c r="E8" s="28"/>
      <c r="F8" s="28"/>
      <c r="G8" s="241" t="s">
        <v>132</v>
      </c>
      <c r="H8" s="242"/>
      <c r="I8" s="129"/>
      <c r="J8" s="127" t="s">
        <v>16</v>
      </c>
      <c r="K8" s="128">
        <f>VLOOKUP(K6,Benchmark_Legend[],MATCH(ColumnC[[#This Row],[Metric]],Benchmark_Legend[#Headers],0),0)</f>
        <v>0.7</v>
      </c>
      <c r="L8" s="128">
        <f>VLOOKUP(L6,Benchmark_Legend[],MATCH(ColumnC[[#This Row],[Metric]],Benchmark_Legend[#Headers],0),0)</f>
        <v>0.98</v>
      </c>
      <c r="M8" s="128">
        <f>VLOOKUP(M6,Benchmark_Legend[],MATCH(ColumnC[[#This Row],[Metric]],Benchmark_Legend[#Headers],0),0)</f>
        <v>0.95</v>
      </c>
      <c r="N8" s="128">
        <f>VLOOKUP(N6,Benchmark_Legend[],MATCH(ColumnC[[#This Row],[Metric]],Benchmark_Legend[#Headers],0),0)</f>
        <v>0.05</v>
      </c>
      <c r="O8" s="128">
        <f>VLOOKUP(O6,Benchmark_Legend[],MATCH(ColumnC[[#This Row],[Metric]],Benchmark_Legend[#Headers],0),0)</f>
        <v>0.02</v>
      </c>
      <c r="P8" s="128">
        <f>VLOOKUP(P6,Benchmark_Legend[],MATCH(ColumnC[[#This Row],[Metric]],Benchmark_Legend[#Headers],0),0)</f>
        <v>0.02</v>
      </c>
      <c r="Q8" s="128">
        <f>VLOOKUP(Q6,Benchmark_Legend[],MATCH(ColumnC[[#This Row],[Metric]],Benchmark_Legend[#Headers],0),0)</f>
        <v>0.01</v>
      </c>
      <c r="R8" s="128">
        <f>VLOOKUP(R6,Benchmark_Legend[],MATCH(ColumnC[[#This Row],[Metric]],Benchmark_Legend[#Headers],0),0)</f>
        <v>0.01</v>
      </c>
      <c r="S8" s="128">
        <f>VLOOKUP(S6,Benchmark_Legend[],MATCH(ColumnC[[#This Row],[Metric]],Benchmark_Legend[#Headers],0),0)</f>
        <v>0.01</v>
      </c>
      <c r="T8" s="128">
        <f>VLOOKUP(T6,Benchmark_Legend[],MATCH(ColumnC[[#This Row],[Metric]],Benchmark_Legend[#Headers],0),0)</f>
        <v>0.03</v>
      </c>
      <c r="U8" s="128">
        <f>VLOOKUP(U6,Benchmark_Legend[],MATCH(ColumnC[[#This Row],[Metric]],Benchmark_Legend[#Headers],0),0)</f>
        <v>0.55000000000000004</v>
      </c>
      <c r="V8" s="128">
        <f>VLOOKUP(V6,Benchmark_Legend[],MATCH(ColumnC[[#This Row],[Metric]],Benchmark_Legend[#Headers],0),0)</f>
        <v>0.6</v>
      </c>
      <c r="W8" s="128">
        <f>VLOOKUP(W6,Benchmark_Legend[],MATCH(ColumnC[[#This Row],[Metric]],Benchmark_Legend[#Headers],0),0)</f>
        <v>0.5</v>
      </c>
      <c r="X8" s="128">
        <f>VLOOKUP(X6,Benchmark_Legend[],MATCH(ColumnC[[#This Row],[Metric]],Benchmark_Legend[#Headers],0),0)</f>
        <v>0.35</v>
      </c>
      <c r="Y8" s="128">
        <f>VLOOKUP(Y6,Benchmark_Legend[],MATCH(ColumnC[[#This Row],[Metric]],Benchmark_Legend[#Headers],0),0)</f>
        <v>0.25</v>
      </c>
      <c r="Z8" s="128">
        <f>VLOOKUP(Z6,Benchmark_Legend[],MATCH(ColumnC[[#This Row],[Metric]],Benchmark_Legend[#Headers],0),0)</f>
        <v>0.35</v>
      </c>
      <c r="AA8" s="128">
        <f>VLOOKUP(AA6,Benchmark_Legend[],MATCH(ColumnC[[#This Row],[Metric]],Benchmark_Legend[#Headers],0),0)</f>
        <v>0.25</v>
      </c>
    </row>
    <row r="9" spans="1:121" s="18" customFormat="1" ht="15.75" customHeight="1" thickBot="1" x14ac:dyDescent="0.4">
      <c r="B9" s="243" t="s">
        <v>154</v>
      </c>
      <c r="C9" s="243"/>
      <c r="D9" s="243"/>
      <c r="E9" s="28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IF((DataC[Measured Rate 
'[% Measured']]&lt;&gt;"NULL"),
DataC[Measured Rate 
'[% Measured']]*
SUBTOTAL(9,OFFSET(DataC[Total Impressions],ROW(DataC[Total Impressions])-MIN(ROW(DataC[Total Impressions])),0,1))))
/
SUM(
IF((DataC[Measured Rate 
'[% Measured']]&lt;&gt;"NULL"),
SUBTOTAL(9,OFFSET(DataC[Total Impressions],ROW(DataC[Total Impressions])-MIN(ROW(DataC[Total Impressions])),0,1))))</f>
        <v>0.7039736901229996</v>
      </c>
      <c r="L9" s="100">
        <f t="array" aca="1" ref="L9" ca="1">SUM(
IF((DataC[See-Through Rate 
'[% Visible']]&lt;&gt;"NULL"),
DataC[See-Through Rate 
'[% Visible']]*
SUBTOTAL(9,OFFSET(DataC[Total Impressions],ROW(DataC[Total Impressions])-MIN(ROW(DataC[Total Impressions])),0,1))))
/
SUM(
IF((DataC[See-Through Rate 
'[% Visible']]&lt;&gt;"NULL"),
SUBTOTAL(9,OFFSET(DataC[Total Impressions],ROW(DataC[Total Impressions])-MIN(ROW(DataC[Total Impressions])),0,1))))</f>
        <v>0.95292479761899984</v>
      </c>
      <c r="M9" s="112">
        <f t="array" aca="1" ref="M9" ca="1">SUM(
IF((DataC[Brand Safety 
'[% Passed']]&lt;&gt;"NULL"),
DataC[Brand Safety 
'[% Passed']]*
SUBTOTAL(9,OFFSET(DataC[Total Impressions],ROW(DataC[Total Impressions])-MIN(ROW(DataC[Total Impressions])),0,1))))
/
SUM(
IF((DataC[Brand Safety 
'[% Passed']]&lt;&gt;"NULL"),
SUBTOTAL(9,OFFSET(DataC[Total Impressions],ROW(DataC[Total Impressions])-MIN(ROW(DataC[Total Impressions])),0,1))))</f>
        <v>4.7075202381199999E-2</v>
      </c>
      <c r="N9" s="112">
        <f t="array" aca="1" ref="N9" ca="1">SUM(
IF((DataC[Brand Safety 
'[% Failed']]&lt;&gt;"NULL"),
DataC[Brand Safety 
'[% Failed']]*
SUBTOTAL(9,OFFSET(DataC[Total Impressions],ROW(DataC[Total Impressions])-MIN(ROW(DataC[Total Impressions])),0,1))))
/
SUM(
IF((DataC[Brand Safety 
'[% Failed']]&lt;&gt;"NULL"),
SUBTOTAL(9,OFFSET(DataC[Total Impressions],ROW(DataC[Total Impressions])-MIN(ROW(DataC[Total Impressions])),0,1))))</f>
        <v>1.584180586379999E-2</v>
      </c>
      <c r="O9" s="112">
        <f t="array" aca="1" ref="O9" ca="1">SUM(
IF((DataC[Brand Safety 
'[% Failed by Content']]&lt;&gt;"NULL"),
DataC[Brand Safety 
'[% Failed by Content']]*
SUBTOTAL(9,OFFSET(DataC[Total Impressions],ROW(DataC[Total Impressions])-MIN(ROW(DataC[Total Impressions])),0,1))))
/
SUM(
IF((DataC[Brand Safety 
'[% Failed by Content']]&lt;&gt;"NULL"),
SUBTOTAL(9,OFFSET(DataC[Total Impressions],ROW(DataC[Total Impressions])-MIN(ROW(DataC[Total Impressions])),0,1))))</f>
        <v>4.7008580414999987E-4</v>
      </c>
      <c r="P9" s="112">
        <f t="array" aca="1" ref="P9" ca="1">SUM(
IF((DataC[Brand Safety 
'[% Failed by Geo']]&lt;&gt;"NULL"),
DataC[Brand Safety 
'[% Failed by Geo']]*
SUBTOTAL(9,OFFSET(DataC[Total Impressions],ROW(DataC[Total Impressions])-MIN(ROW(DataC[Total Impressions])),0,1))))
/
SUM(
IF((DataC[Brand Safety 
'[% Failed by Geo']]&lt;&gt;"NULL"),
SUBTOTAL(9,OFFSET(DataC[Total Impressions],ROW(DataC[Total Impressions])-MIN(ROW(DataC[Total Impressions])),0,1))))</f>
        <v>2.1768992240599996E-2</v>
      </c>
      <c r="Q9" s="100">
        <f t="array" aca="1" ref="Q9" ca="1">SUM(
IF((DataC[Brand Safety 
'[% Failed by Keyword']]&lt;&gt;"NULL"),
DataC[Brand Safety 
'[% Failed by Keyword']]*
SUBTOTAL(9,OFFSET(DataC[Total Impressions],ROW(DataC[Total Impressions])-MIN(ROW(DataC[Total Impressions])),0,1))))
/
SUM(
IF((DataC[Brand Safety 
'[% Failed by Keyword']]&lt;&gt;"NULL"),
SUBTOTAL(9,OFFSET(DataC[Total Impressions],ROW(DataC[Total Impressions])-MIN(ROW(DataC[Total Impressions])),0,1))))</f>
        <v>1.7364074924199996E-4</v>
      </c>
      <c r="R9" s="100">
        <f t="array" aca="1" ref="R9" ca="1">SUM(
IF((DataC[Brand Safety 
'[% Failed by Blacklist']]&lt;&gt;"NULL"),
DataC[Brand Safety 
'[% Failed by Blacklist']]*
SUBTOTAL(9,OFFSET(DataC[Total Impressions],ROW(DataC[Total Impressions])-MIN(ROW(DataC[Total Impressions])),0,1))))
/
SUM(
IF((DataC[Brand Safety 
'[% Failed by Blacklist']]&lt;&gt;"NULL"),
SUBTOTAL(9,OFFSET(DataC[Total Impressions],ROW(DataC[Total Impressions])-MIN(ROW(DataC[Total Impressions])),0,1))))</f>
        <v>0</v>
      </c>
      <c r="S9" s="100">
        <f t="array" aca="1" ref="S9" ca="1">SUM(
IF((DataC[Brand Safety 
'[% Failed by Language']]&lt;&gt;"NULL"),
DataC[Brand Safety 
'[% Failed by Language']]*
SUBTOTAL(9,OFFSET(DataC[Total Impressions],ROW(DataC[Total Impressions])-MIN(ROW(DataC[Total Impressions])),0,1))))
/
SUM(
IF((DataC[Brand Safety 
'[% Failed by Language']]&lt;&gt;"NULL"),
SUBTOTAL(9,OFFSET(DataC[Total Impressions],ROW(DataC[Total Impressions])-MIN(ROW(DataC[Total Impressions])),0,1))))</f>
        <v>9.2195017271999927E-3</v>
      </c>
      <c r="T9" s="100">
        <f t="array" aca="1" ref="T9" ca="1">SUM(
IF((DataC[Fraud 
'[% Fraud']]&lt;&gt;"NULL"),
DataC[Fraud 
'[% Fraud']]*
SUBTOTAL(9,OFFSET(DataC[Total Impressions],ROW(DataC[Total Impressions])-MIN(ROW(DataC[Total Impressions])),0,1))))
/
SUM(
IF((DataC[Fraud 
'[% Fraud']]&lt;&gt;"NULL"),
SUBTOTAL(9,OFFSET(DataC[Total Impressions],ROW(DataC[Total Impressions])-MIN(ROW(DataC[Total Impressions])),0,1))))</f>
        <v>0.64080593717799972</v>
      </c>
      <c r="U9" s="100">
        <f t="array" aca="1" ref="U9" ca="1">SUM(
IF((DataC[Viewability 
'[Total Viewable Rate (Total Net Metrics)']]&lt;&gt;"NULL"),
DataC[Viewability 
'[Total Viewable Rate (Total Net Metrics)']]*SUBTOTAL(9,OFFSET(DataC[Measured Impressions],ROW(DataC[Measured Impressions])-MIN(ROW(DataC[Measured Impressions])),0,1))))
/
SUM(
IF((DataC[Viewability 
'[Total Viewable Rate (Total Net Metrics)']]&lt;&gt;"NULL"),
SUBTOTAL(9,OFFSET(DataC[Measured Impressions],ROW(DataC[Measured Impressions])-MIN(ROW(DataC[Measured Impressions])),0,1))))</f>
        <v>0.63650054192099981</v>
      </c>
      <c r="V9" s="100">
        <f t="array" aca="1" ref="V9" ca="1">SUM(
IF((DataC[Display Viewability 
'[Total Viewable Rate (Total Net Metrics)']]&lt;&gt;"NULL"),
DataC[Display Viewability 
'[Total Viewable Rate (Total Net Metrics)']]*SUBTOTAL(9,OFFSET(DataC[Measured Impressions],ROW(DataC[Measured Impressions])-MIN(ROW(DataC[Measured Impressions])),0,1))))
/
SUM(
IF((DataC[Display Viewability 
'[Total Viewable Rate (Total Net Metrics)']]&lt;&gt;"NULL"),
SUBTOTAL(9,OFFSET(DataC[Measured Impressions],ROW(DataC[Measured Impressions])-MIN(ROW(DataC[Measured Impressions])),0,1))))</f>
        <v>0.85731169793699979</v>
      </c>
      <c r="W9" s="112">
        <f t="array" aca="1" ref="W9" ca="1">SUM(
IF((DataC[Video Viewability 
'[Total Viewable Rate (Total Net Metrics)']]&lt;&gt;"NULL"),
DataC[Video Viewability 
'[Total Viewable Rate (Total Net Metrics)']]*SUBTOTAL(9,OFFSET(DataC[Measured Impressions],ROW(DataC[Measured Impressions])-MIN(ROW(DataC[Measured Impressions])),0,1))))
/
SUM(
IF((DataC[Video Viewability 
'[Total Viewable Rate (Total Net Metrics)']]&lt;&gt;"NULL"),
SUBTOTAL(9,OFFSET(DataC[Measured Impressions],ROW(DataC[Measured Impressions])-MIN(ROW(DataC[Measured Impressions])),0,1))))</f>
        <v>0</v>
      </c>
      <c r="X9" s="100">
        <f t="array" aca="1" ref="X9" ca="1">SUM(
IF((DataC[GroupM Viewability 
'[% Display Ads Fully in View']]&lt;&gt;"NULL"),
DataC[GroupM Viewability 
'[% Display Ads Fully in View']]*SUBTOTAL(9,OFFSET(DataC[Measured Impressions],ROW(DataC[Measured Impressions])-MIN(ROW(DataC[Measured Impressions])),0,1))))
/
SUM(
IF((DataC[GroupM Viewability 
'[% Display Ads Fully in View']]&lt;&gt;"NULL"),
SUBTOTAL(9,OFFSET(DataC[Measured Impressions],ROW(DataC[Measured Impressions])-MIN(ROW(DataC[Measured Impressions])),0,1))))</f>
        <v>0</v>
      </c>
      <c r="Y9" s="112">
        <f t="array" aca="1" ref="Y9" ca="1">SUM(
IF((DataC[GroupM Viewability 
'[% Videos Fully in View']]&lt;&gt;"NULL"),
DataC[GroupM Viewability 
'[% Videos Fully in View']]*SUBTOTAL(9,OFFSET(DataC[Measured Impressions],ROW(DataC[Measured Impressions])-MIN(ROW(DataC[Measured Impressions])),0,1))))
/
SUM(
IF((DataC[GroupM Viewability 
'[% Videos Fully in View']]&lt;&gt;"NULL"),
SUBTOTAL(9,OFFSET(DataC[Measured Impressions],ROW(DataC[Measured Impressions])-MIN(ROW(DataC[Measured Impressions])),0,1))))</f>
        <v>0</v>
      </c>
      <c r="Z9" s="100">
        <f t="array" aca="1" ref="Z9" ca="1">SUM(
IF((DataC[Publicis Viewability 
'[% Display Ads Fully in View']]&lt;&gt;"NULL"),
DataC[Publicis Viewability 
'[% Display Ads Fully in View']]*SUBTOTAL(9,OFFSET(DataC[Measured Impressions],ROW(DataC[Measured Impressions])-MIN(ROW(DataC[Measured Impressions])),0,1))))
/
SUM(
IF((DataC[Publicis Viewability 
'[% Display Ads Fully in View']]&lt;&gt;"NULL"),
SUBTOTAL(9,OFFSET(DataC[Measured Impressions],ROW(DataC[Measured Impressions])-MIN(ROW(DataC[Measured Impressions])),0,1))))</f>
        <v>0</v>
      </c>
      <c r="AA9" s="100">
        <f t="array" aca="1" ref="AA9" ca="1">SUM(
IF((DataC[Publicis Viewability 
'[% Videos Fully in View']]&lt;&gt;"NULL"),
DataC[Publicis Viewability 
'[% Videos Fully in View']]*SUBTOTAL(9,OFFSET(DataC[Measured Impressions],ROW(DataC[Measured Impressions])-MIN(ROW(DataC[Measured Impressions])),0,1))))
/
SUM(
IF((DataC[Publicis Viewability 
'[% Videos Fully in View']]&lt;&gt;"NULL"),
SUBTOTAL(9,OFFSET(DataC[Measured Impressions],ROW(DataC[Measured Impressions])-MIN(ROW(DataC[Measured Impressions])),0,1))))</f>
        <v>0</v>
      </c>
    </row>
    <row r="10" spans="1:121" s="18" customFormat="1" ht="15.75" hidden="1" customHeight="1" x14ac:dyDescent="0.35">
      <c r="A10" s="235"/>
      <c r="B10" s="236"/>
      <c r="C10" s="236"/>
      <c r="D10" s="237"/>
      <c r="E10" s="23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IF(DataC[Measured Rate 
'[% Measured']]&lt;&gt;"NULL",
IF(DataC[Device Type]=ColumnC[[#This Row],[Metric]],
DataC[Measured Rate 
'[% Measured']]*
SUBTOTAL(9,OFFSET(DataC[Total Impressions],ROW(DataC[Total Impressions])-MIN(ROW(DataC[Total Impressions])),0,1)))))
/
SUM(
IF(DataC[Measured Rate 
'[% Measured']]&lt;&gt;"NULL",
IF(DataC[Device Type]=ColumnC[[#This Row],[Metric]],
SUBTOTAL(9,OFFSET(DataC[Total Impressions],ROW(DataC[Total Impressions])-MIN(ROW(DataC[Total Impressions])),0,1)))))</f>
        <v>#DIV/0!</v>
      </c>
      <c r="L10" s="32" t="e">
        <f t="array" aca="1" ref="L10" ca="1">SUM(
IF(DataC[See-Through Rate 
'[% Visible']]&lt;&gt;"NULL",
IF(DataC[Device Type]=ColumnC[[#This Row],[Metric]],
DataC[See-Through Rate 
'[% Visible']]*
SUBTOTAL(9,OFFSET(DataC[Total Impressions],ROW(DataC[Total Impressions])-MIN(ROW(DataC[Total Impressions])),0,1)))))
/
SUM(
IF(DataC[See-Through Rate 
'[% Visible']]&lt;&gt;"NULL",
IF(DataC[Device Type]=ColumnC[[#This Row],[Metric]],
SUBTOTAL(9,OFFSET(DataC[Total Impressions],ROW(DataC[Total Impressions])-MIN(ROW(DataC[Total Impressions])),0,1)))))</f>
        <v>#DIV/0!</v>
      </c>
      <c r="M10" s="32" t="e">
        <f t="array" aca="1" ref="M10" ca="1">SUM(
IF(DataC[Brand Safety 
'[% Passed']]&lt;&gt;"NULL",
IF(DataC[Device Type]=ColumnC[[#This Row],[Metric]],
DataC[Brand Safety 
'[% Passed']]*
SUBTOTAL(9,OFFSET(DataC[Total Impressions],ROW(DataC[Total Impressions])-MIN(ROW(DataC[Total Impressions])),0,1)))))
/
SUM(
IF(DataC[Brand Safety 
'[% Passed']]&lt;&gt;"NULL",
IF(DataC[Device Type]=ColumnC[[#This Row],[Metric]],
SUBTOTAL(9,OFFSET(DataC[Total Impressions],ROW(DataC[Total Impressions])-MIN(ROW(DataC[Total Impressions])),0,1)))))</f>
        <v>#DIV/0!</v>
      </c>
      <c r="N10" s="32" t="e">
        <f t="array" aca="1" ref="N10" ca="1">SUM(
IF(DataC[Brand Safety 
'[% Failed']]&lt;&gt;"NULL",
IF(DataC[Device Type]=ColumnC[[#This Row],[Metric]],
DataC[Brand Safety 
'[% Failed']]*
SUBTOTAL(9,OFFSET(DataC[Total Impressions],ROW(DataC[Total Impressions])-MIN(ROW(DataC[Total Impressions])),0,1)))))
/
SUM(
IF(DataC[Brand Safety 
'[% Failed']]&lt;&gt;"NULL",
IF(DataC[Device Type]=ColumnC[[#This Row],[Metric]],
SUBTOTAL(9,OFFSET(DataC[Total Impressions],ROW(DataC[Total Impressions])-MIN(ROW(DataC[Total Impressions])),0,1)))))</f>
        <v>#DIV/0!</v>
      </c>
      <c r="O10" s="32" t="e">
        <f t="array" aca="1" ref="O10" ca="1">SUM(
IF(DataC[Brand Safety 
'[% Failed by Content']]&lt;&gt;"NULL",
IF(DataC[Device Type]=ColumnC[[#This Row],[Metric]],
DataC[Brand Safety 
'[% Failed by Content']]*
SUBTOTAL(9,OFFSET(DataC[Total Impressions],ROW(DataC[Total Impressions])-MIN(ROW(DataC[Total Impressions])),0,1)))))
/
SUM(
IF(DataC[Brand Safety 
'[% Failed by Content']]&lt;&gt;"NULL",
IF(DataC[Device Type]=ColumnC[[#This Row],[Metric]],
SUBTOTAL(9,OFFSET(DataC[Total Impressions],ROW(DataC[Total Impressions])-MIN(ROW(DataC[Total Impressions])),0,1)))))</f>
        <v>#DIV/0!</v>
      </c>
      <c r="P10" s="32" t="e">
        <f t="array" aca="1" ref="P10" ca="1">SUM(
IF(DataC[Brand Safety 
'[% Failed by Geo']]&lt;&gt;"NULL",
IF(DataC[Device Type]=ColumnC[[#This Row],[Metric]],
DataC[Brand Safety 
'[% Failed by Geo']]*
SUBTOTAL(9,OFFSET(DataC[Total Impressions],ROW(DataC[Total Impressions])-MIN(ROW(DataC[Total Impressions])),0,1)))))
/
SUM(
IF(DataC[Brand Safety 
'[% Failed by Geo']]&lt;&gt;"NULL",
IF(DataC[Device Type]=ColumnC[[#This Row],[Metric]],
SUBTOTAL(9,OFFSET(DataC[Total Impressions],ROW(DataC[Total Impressions])-MIN(ROW(DataC[Total Impressions])),0,1)))))</f>
        <v>#DIV/0!</v>
      </c>
      <c r="Q10" s="32" t="e">
        <f t="array" aca="1" ref="Q10" ca="1">SUM(
IF(DataC[Brand Safety 
'[% Failed by Keyword']]&lt;&gt;"NULL",
IF(DataC[Device Type]=ColumnC[[#This Row],[Metric]],
DataC[Brand Safety 
'[% Failed by Keyword']]*
SUBTOTAL(9,OFFSET(DataC[Total Impressions],ROW(DataC[Total Impressions])-MIN(ROW(DataC[Total Impressions])),0,1)))))
/
SUM(
IF(DataC[Brand Safety 
'[% Failed by Keyword']]&lt;&gt;"NULL",
IF(DataC[Device Type]=ColumnC[[#This Row],[Metric]],
SUBTOTAL(9,OFFSET(DataC[Total Impressions],ROW(DataC[Total Impressions])-MIN(ROW(DataC[Total Impressions])),0,1)))))</f>
        <v>#DIV/0!</v>
      </c>
      <c r="R10" s="32" t="e">
        <f t="array" aca="1" ref="R10" ca="1">SUM(
IF(DataC[Brand Safety 
'[% Failed by Blacklist']]&lt;&gt;"NULL",
IF(DataC[Device Type]=ColumnC[[#This Row],[Metric]],
DataC[Brand Safety 
'[% Failed by Blacklist']]*
SUBTOTAL(9,OFFSET(DataC[Total Impressions],ROW(DataC[Total Impressions])-MIN(ROW(DataC[Total Impressions])),0,1)))))
/
SUM(
IF(DataC[Brand Safety 
'[% Failed by Blacklist']]&lt;&gt;"NULL",
IF(DataC[Device Type]=ColumnC[[#This Row],[Metric]],
SUBTOTAL(9,OFFSET(DataC[Total Impressions],ROW(DataC[Total Impressions])-MIN(ROW(DataC[Total Impressions])),0,1)))))</f>
        <v>#DIV/0!</v>
      </c>
      <c r="S10" s="32" t="e">
        <f t="array" aca="1" ref="S10" ca="1">SUM(
IF(DataC[Brand Safety 
'[% Failed by Language']]&lt;&gt;"NULL",
IF(DataC[Device Type]=ColumnC[[#This Row],[Metric]],
DataC[Brand Safety 
'[% Failed by Language']]*
SUBTOTAL(9,OFFSET(DataC[Total Impressions],ROW(DataC[Total Impressions])-MIN(ROW(DataC[Total Impressions])),0,1)))))
/
SUM(
IF(DataC[Brand Safety 
'[% Failed by Language']]&lt;&gt;"NULL",
IF(DataC[Device Type]=ColumnC[[#This Row],[Metric]],
SUBTOTAL(9,OFFSET(DataC[Total Impressions],ROW(DataC[Total Impressions])-MIN(ROW(DataC[Total Impressions])),0,1)))))</f>
        <v>#DIV/0!</v>
      </c>
      <c r="T10" s="32" t="e">
        <f t="array" aca="1" ref="T10" ca="1">SUM(
IF(DataC[Fraud 
'[% Fraud']]&lt;&gt;"NULL",
IF(DataC[Device Type]=ColumnC[[#This Row],[Metric]],
DataC[Fraud 
'[% Fraud']]*
SUBTOTAL(9,OFFSET(DataC[Total Impressions],ROW(DataC[Total Impressions])-MIN(ROW(DataC[Total Impressions])),0,1)))))
/
SUM(
IF(DataC[Fraud 
'[% Fraud']]&lt;&gt;"NULL",
IF(DataC[Device Type]=ColumnC[[#This Row],[Metric]],
SUBTOTAL(9,OFFSET(DataC[Total Impressions],ROW(DataC[Total Impressions])-MIN(ROW(DataC[Total Impressions])),0,1)))))</f>
        <v>#DIV/0!</v>
      </c>
      <c r="U10" s="32" t="e">
        <f t="array" aca="1" ref="U10" ca="1">SUM(
IF(DataC[Viewability 
'[Total Viewable Rate (Total Net Metrics)']]&lt;&gt;"NULL",
IF(DataC[Device Type]=ColumnC[[#This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V10" s="32" t="e">
        <f t="array" aca="1" ref="V10" ca="1">SUM(
IF(DataC[Display Viewability 
'[Total Viewable Rate (Total Net Metrics)']]&lt;&gt;"NULL",
IF(DataC[Device Type]=ColumnC[[#This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W10" s="32" t="e">
        <f t="array" aca="1" ref="W10" ca="1">SUM(
IF(DataC[Video Viewability 
'[Total Viewable Rate (Total Net Metrics)']]&lt;&gt;"NULL",
IF(DataC[Device Type]=ColumnC[[#This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IF(DataC[Device Type]=ColumnC[[#This Row],[Metric]],
SUBTOTAL(9,OFFSET(DataC[Total Impressions],ROW(DataC[Total Impressions])-MIN(ROW(DataC[Total Impressions])),0,1)))))</f>
        <v>#DIV/0!</v>
      </c>
      <c r="X10" s="32" t="e">
        <f t="array" aca="1" ref="X10" ca="1">SUM(
IF(DataC[GroupM Viewability 
'[% Display Ads Fully in View']]&lt;&gt;"NULL",
IF(DataC[Device Type]=ColumnC[[#This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Y10" s="32" t="e">
        <f t="array" aca="1" ref="Y10" ca="1">SUM(
IF(DataC[GroupM Viewability 
'[% Videos Fully in View']]&lt;&gt;"NULL",
IF(DataC[Device Type]=ColumnC[[#This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IF(DataC[Device Type]=ColumnC[[#This Row],[Metric]],
SUBTOTAL(9,OFFSET(DataC[Total Impressions],ROW(DataC[Total Impressions])-MIN(ROW(DataC[Total Impressions])),0,1)))))</f>
        <v>#DIV/0!</v>
      </c>
      <c r="Z10" s="32" t="e">
        <f t="array" aca="1" ref="Z10" ca="1">SUM(
IF(DataC[Publicis Viewability 
'[% Display Ads Fully in View']]&lt;&gt;"NULL",
IF(DataC[Device Type]=ColumnC[[#This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IF(DataC[Device Type]=ColumnC[[#This Row],[Metric]],
SUBTOTAL(9,OFFSET(DataC[Total Impressions],ROW(DataC[Total Impressions])-MIN(ROW(DataC[Total Impressions])),0,1)))))</f>
        <v>#DIV/0!</v>
      </c>
      <c r="AA10" s="32" t="e">
        <f t="array" aca="1" ref="AA10" ca="1">SUM(
IF(DataC[Publicis Viewability 
'[% Videos Fully in View']]&lt;&gt;"NULL",
IF(DataC[Device Type]=ColumnC[[#This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IF(DataC[Device Type]=ColumnC[[#This Row],[Metric]],
SUBTOTAL(9,OFFSET(DataC[Total Impressions],ROW(DataC[Total Impressions])-MIN(ROW(DataC[Total Impressions])),0,1)))))</f>
        <v>#DIV/0!</v>
      </c>
    </row>
    <row r="11" spans="1:121" s="18" customFormat="1" ht="16.5" hidden="1" customHeight="1" x14ac:dyDescent="0.35">
      <c r="A11" s="232"/>
      <c r="B11" s="233"/>
      <c r="C11" s="233"/>
      <c r="D11" s="234"/>
      <c r="E11" s="23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IF(DataC[Measured Rate 
'[% Measured']]&lt;&gt;"NULL",
IF(DataC[Brand]=ColumnC[[#This Row],[Metric]],
DataC[Measured Rate 
'[% Measured']]*
SUBTOTAL(9,OFFSET(DataC[Total Impressions],ROW(DataC[Total Impressions])-MIN(ROW(DataC[Total Impressions])),0,1)))))
/
SUM(
IF(DataC[Measured Rate 
'[% Measured']]&lt;&gt;"NULL",
IF(DataC[Brand]=ColumnC[[#This Row],[Metric]],
SUBTOTAL(9,OFFSET(DataC[Total Impressions],ROW(DataC[Total Impressions])-MIN(ROW(DataC[Total Impressions])),0,1)))))</f>
        <v>#DIV/0!</v>
      </c>
      <c r="L11" s="32" t="e">
        <f t="array" aca="1" ref="L11" ca="1">SUM(
IF(DataC[See-Through Rate 
'[% Visible']]&lt;&gt;"NULL",
IF(DataC[Brand]=ColumnC[[#This Row],[Metric]],
DataC[See-Through Rate 
'[% Visible']]*
SUBTOTAL(9,OFFSET(DataC[Total Impressions],ROW(DataC[Total Impressions])-MIN(ROW(DataC[Total Impressions])),0,1)))))
/
SUM(
IF(DataC[See-Through Rate 
'[% Visible']]&lt;&gt;"NULL",
IF(DataC[Brand]=ColumnC[[#This Row],[Metric]],
SUBTOTAL(9,OFFSET(DataC[Total Impressions],ROW(DataC[Total Impressions])-MIN(ROW(DataC[Total Impressions])),0,1)))))</f>
        <v>#DIV/0!</v>
      </c>
      <c r="M11" s="32" t="e">
        <f t="array" aca="1" ref="M11" ca="1">SUM(
IF(DataC[Brand Safety 
'[% Passed']]&lt;&gt;"NULL",
IF(DataC[Brand]=ColumnC[[#This Row],[Metric]],
DataC[Brand Safety 
'[% Passed']]*
SUBTOTAL(9,OFFSET(DataC[Total Impressions],ROW(DataC[Total Impressions])-MIN(ROW(DataC[Total Impressions])),0,1)))))
/
SUM(
IF(DataC[Brand Safety 
'[% Passed']]&lt;&gt;"NULL",
IF(DataC[Brand]=ColumnC[[#This Row],[Metric]],
SUBTOTAL(9,OFFSET(DataC[Total Impressions],ROW(DataC[Total Impressions])-MIN(ROW(DataC[Total Impressions])),0,1)))))</f>
        <v>#DIV/0!</v>
      </c>
      <c r="N11" s="32" t="e">
        <f t="array" aca="1" ref="N11" ca="1">SUM(
IF(DataC[Brand Safety 
'[% Failed']]&lt;&gt;"NULL",
IF(DataC[Brand]=ColumnC[[#This Row],[Metric]],
DataC[Brand Safety 
'[% Failed']]*
SUBTOTAL(9,OFFSET(DataC[Total Impressions],ROW(DataC[Total Impressions])-MIN(ROW(DataC[Total Impressions])),0,1)))))
/
SUM(
IF(DataC[Brand Safety 
'[% Failed']]&lt;&gt;"NULL",
IF(DataC[Brand]=ColumnC[[#This Row],[Metric]],
SUBTOTAL(9,OFFSET(DataC[Total Impressions],ROW(DataC[Total Impressions])-MIN(ROW(DataC[Total Impressions])),0,1)))))</f>
        <v>#DIV/0!</v>
      </c>
      <c r="O11" s="32" t="e">
        <f t="array" aca="1" ref="O11" ca="1">SUM(
IF(DataC[Brand Safety 
'[% Failed by Content']]&lt;&gt;"NULL",
IF(DataC[Brand]=ColumnC[[#This Row],[Metric]],
DataC[Brand Safety 
'[% Failed by Content']]*
SUBTOTAL(9,OFFSET(DataC[Total Impressions],ROW(DataC[Total Impressions])-MIN(ROW(DataC[Total Impressions])),0,1)))))
/
SUM(
IF(DataC[Brand Safety 
'[% Failed by Content']]&lt;&gt;"NULL",
IF(DataC[Brand]=ColumnC[[#This Row],[Metric]],
SUBTOTAL(9,OFFSET(DataC[Total Impressions],ROW(DataC[Total Impressions])-MIN(ROW(DataC[Total Impressions])),0,1)))))</f>
        <v>#DIV/0!</v>
      </c>
      <c r="P11" s="32" t="e">
        <f t="array" aca="1" ref="P11" ca="1">SUM(
IF(DataC[Brand Safety 
'[% Failed by Geo']]&lt;&gt;"NULL",
IF(DataC[Brand]=ColumnC[[#This Row],[Metric]],
DataC[Brand Safety 
'[% Failed by Geo']]*
SUBTOTAL(9,OFFSET(DataC[Total Impressions],ROW(DataC[Total Impressions])-MIN(ROW(DataC[Total Impressions])),0,1)))))
/
SUM(
IF(DataC[Brand Safety 
'[% Failed by Geo']]&lt;&gt;"NULL",
IF(DataC[Brand]=ColumnC[[#This Row],[Metric]],
SUBTOTAL(9,OFFSET(DataC[Total Impressions],ROW(DataC[Total Impressions])-MIN(ROW(DataC[Total Impressions])),0,1)))))</f>
        <v>#DIV/0!</v>
      </c>
      <c r="Q11" s="32" t="e">
        <f t="array" aca="1" ref="Q11" ca="1">SUM(
IF(DataC[Brand Safety 
'[% Failed by Keyword']]&lt;&gt;"NULL",
IF(DataC[Brand]=ColumnC[[#This Row],[Metric]],
DataC[Brand Safety 
'[% Failed by Keyword']]*
SUBTOTAL(9,OFFSET(DataC[Total Impressions],ROW(DataC[Total Impressions])-MIN(ROW(DataC[Total Impressions])),0,1)))))
/
SUM(
IF(DataC[Brand Safety 
'[% Failed by Keyword']]&lt;&gt;"NULL",
IF(DataC[Brand]=ColumnC[[#This Row],[Metric]],
SUBTOTAL(9,OFFSET(DataC[Total Impressions],ROW(DataC[Total Impressions])-MIN(ROW(DataC[Total Impressions])),0,1)))))</f>
        <v>#DIV/0!</v>
      </c>
      <c r="R11" s="32" t="e">
        <f t="array" aca="1" ref="R11" ca="1">SUM(
IF(DataC[Brand Safety 
'[% Failed by Blacklist']]&lt;&gt;"NULL",
IF(DataC[Brand]=ColumnC[[#This Row],[Metric]],
DataC[Brand Safety 
'[% Failed by Blacklist']]*
SUBTOTAL(9,OFFSET(DataC[Total Impressions],ROW(DataC[Total Impressions])-MIN(ROW(DataC[Total Impressions])),0,1)))))
/
SUM(
IF(DataC[Brand Safety 
'[% Failed by Blacklist']]&lt;&gt;"NULL",
IF(DataC[Brand]=ColumnC[[#This Row],[Metric]],
SUBTOTAL(9,OFFSET(DataC[Total Impressions],ROW(DataC[Total Impressions])-MIN(ROW(DataC[Total Impressions])),0,1)))))</f>
        <v>#DIV/0!</v>
      </c>
      <c r="S11" s="32" t="e">
        <f t="array" aca="1" ref="S11" ca="1">SUM(
IF(DataC[Brand Safety 
'[% Failed by Language']]&lt;&gt;"NULL",
IF(DataC[Brand]=ColumnC[[#This Row],[Metric]],
DataC[Brand Safety 
'[% Failed by Language']]*
SUBTOTAL(9,OFFSET(DataC[Total Impressions],ROW(DataC[Total Impressions])-MIN(ROW(DataC[Total Impressions])),0,1)))))
/
SUM(
IF(DataC[Brand Safety 
'[% Failed by Language']]&lt;&gt;"NULL",
IF(DataC[Brand]=ColumnC[[#This Row],[Metric]],
SUBTOTAL(9,OFFSET(DataC[Total Impressions],ROW(DataC[Total Impressions])-MIN(ROW(DataC[Total Impressions])),0,1)))))</f>
        <v>#DIV/0!</v>
      </c>
      <c r="T11" s="32" t="e">
        <f t="array" aca="1" ref="T11" ca="1">SUM(
IF(DataC[Fraud 
'[% Fraud']]&lt;&gt;"NULL",
IF(DataC[Brand]=ColumnC[[#This Row],[Metric]],
DataC[Fraud 
'[% Fraud']]*
SUBTOTAL(9,OFFSET(DataC[Total Impressions],ROW(DataC[Total Impressions])-MIN(ROW(DataC[Total Impressions])),0,1)))))
/
SUM(
IF(DataC[Fraud 
'[% Fraud']]&lt;&gt;"NULL",
IF(DataC[Brand]=ColumnC[[#This Row],[Metric]],
SUBTOTAL(9,OFFSET(DataC[Total Impressions],ROW(DataC[Total Impressions])-MIN(ROW(DataC[Total Impressions])),0,1)))))</f>
        <v>#DIV/0!</v>
      </c>
      <c r="U11" s="32" t="e">
        <f t="array" aca="1" ref="U11" ca="1">SUM(
IF(DataC[Viewability 
'[Total Viewable Rate (Total Net Metrics)']]&lt;&gt;"NULL",
IF(DataC[Brand]=ColumnC[[#This Row],[Metric]],
DataC[Viewability 
'[Total Viewable Rate (Total Net Metrics)']]*
SUBTOTAL(9,OFFSET(DataC[Total Impressions],ROW(DataC[Total Impressions])-MIN(ROW(DataC[Total Impressions])),0,1)))))
/
SUM(
IF(DataC[Viewability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V11" s="32" t="e">
        <f t="array" aca="1" ref="V11" ca="1">SUM(
IF(DataC[Display Viewability 
'[Total Viewable Rate (Total Net Metrics)']]&lt;&gt;"NULL",
IF(DataC[Brand]=ColumnC[[#This Row],[Metric]],
DataC[Display Viewability 
'[Total Viewable Rate (Total Net Metrics)']]*
SUBTOTAL(9,OFFSET(DataC[Total Impressions],ROW(DataC[Total Impressions])-MIN(ROW(DataC[Total Impressions])),0,1)))))
/
SUM(
IF(DataC[Display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W11" s="32" t="e">
        <f t="array" aca="1" ref="W11" ca="1">SUM(
IF(DataC[Video Viewability 
'[Total Viewable Rate (Total Net Metrics)']]&lt;&gt;"NULL",
IF(DataC[Brand]=ColumnC[[#This Row],[Metric]],
DataC[Video Viewability 
'[Total Viewable Rate (Total Net Metrics)']]*
SUBTOTAL(9,OFFSET(DataC[Total Impressions],ROW(DataC[Total Impressions])-MIN(ROW(DataC[Total Impressions])),0,1)))))
/
SUM(
IF(DataC[Video Viewability 
'[Total Viewable Rate (Total Net Metrics)']]&lt;&gt;"NULL",
IF(DataC[Brand]=ColumnC[[#This Row],[Metric]],
SUBTOTAL(9,OFFSET(DataC[Total Impressions],ROW(DataC[Total Impressions])-MIN(ROW(DataC[Total Impressions])),0,1)))))</f>
        <v>#DIV/0!</v>
      </c>
      <c r="X11" s="32" t="e">
        <f t="array" aca="1" ref="X11" ca="1">SUM(
IF(DataC[GroupM Viewability 
'[% Display Ads Fully in View']]&lt;&gt;"NULL",
IF(DataC[Brand]=ColumnC[[#This Row],[Metric]],
DataC[GroupM Viewability 
'[% Display Ads Fully in View']]*
SUBTOTAL(9,OFFSET(DataC[Total Impressions],ROW(DataC[Total Impressions])-MIN(ROW(DataC[Total Impressions])),0,1)))))
/
SUM(
IF(DataC[GroupM Viewability 
'[% Display Ads Fully in View']]&lt;&gt;"NULL",
IF(DataC[Brand]=ColumnC[[#This Row],[Metric]],
SUBTOTAL(9,OFFSET(DataC[Total Impressions],ROW(DataC[Total Impressions])-MIN(ROW(DataC[Total Impressions])),0,1)))))</f>
        <v>#DIV/0!</v>
      </c>
      <c r="Y11" s="32" t="e">
        <f t="array" aca="1" ref="Y11" ca="1">SUM(
IF(DataC[GroupM Viewability 
'[% Videos Fully in View']]&lt;&gt;"NULL",
IF(DataC[Brand]=ColumnC[[#This Row],[Metric]],
DataC[GroupM Viewability 
'[% Videos Fully in View']]*
SUBTOTAL(9,OFFSET(DataC[Total Impressions],ROW(DataC[Total Impressions])-MIN(ROW(DataC[Total Impressions])),0,1)))))
/
SUM(
IF(DataC[GroupM Viewability 
'[% Videos Fully in View']]&lt;&gt;"NULL",
IF(DataC[Brand]=ColumnC[[#This Row],[Metric]],
SUBTOTAL(9,OFFSET(DataC[Total Impressions],ROW(DataC[Total Impressions])-MIN(ROW(DataC[Total Impressions])),0,1)))))</f>
        <v>#DIV/0!</v>
      </c>
      <c r="Z11" s="32" t="e">
        <f t="array" aca="1" ref="Z11" ca="1">SUM(
IF(DataC[Publicis Viewability 
'[% Display Ads Fully in View']]&lt;&gt;"NULL",
IF(DataC[Brand]=ColumnC[[#This Row],[Metric]],
DataC[Publicis Viewability 
'[% Display Ads Fully in View']]*
SUBTOTAL(9,OFFSET(DataC[Total Impressions],ROW(DataC[Total Impressions])-MIN(ROW(DataC[Total Impressions])),0,1)))))
/
SUM(
IF(DataC[Publicis Viewability 
'[% Display Ads Fully in View']]&lt;&gt;"NULL",
IF(DataC[Brand]=ColumnC[[#This Row],[Metric]],
SUBTOTAL(9,OFFSET(DataC[Total Impressions],ROW(DataC[Total Impressions])-MIN(ROW(DataC[Total Impressions])),0,1)))))</f>
        <v>#DIV/0!</v>
      </c>
      <c r="AA11" s="32" t="e">
        <f t="array" aca="1" ref="AA11" ca="1">SUM(
IF(DataC[Publicis Viewability 
'[% Videos Fully in View']]&lt;&gt;"NULL",
IF(DataC[Brand]=ColumnC[[#This Row],[Metric]],
DataC[Publicis Viewability 
'[% Videos Fully in View']]*
SUBTOTAL(9,OFFSET(DataC[Total Impressions],ROW(DataC[Total Impressions])-MIN(ROW(DataC[Total Impressions])),0,1)))))
/
SUM(
IF(DataC[Publicis Viewability 
'[% Videos Fully in View']]&lt;&gt;"NULL",
IF(DataC[Brand]=ColumnC[[#This Row],[Metric]],
SUBTOTAL(9,OFFSET(DataC[Total Impressions],ROW(DataC[Total Impressions])-MIN(ROW(DataC[Total Impressions])),0,1)))))</f>
        <v>#DIV/0!</v>
      </c>
    </row>
    <row r="12" spans="1:121" s="18" customFormat="1" ht="16.5" hidden="1" customHeight="1" x14ac:dyDescent="0.35">
      <c r="A12" s="235"/>
      <c r="B12" s="236"/>
      <c r="C12" s="236"/>
      <c r="D12" s="237"/>
      <c r="E12" s="23"/>
      <c r="F12" s="28"/>
      <c r="G12" s="238" t="s">
        <v>8</v>
      </c>
      <c r="H12" s="23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B13" s="33"/>
      <c r="C13" s="33"/>
      <c r="D13" s="34"/>
      <c r="E13" s="23"/>
      <c r="F13" s="28"/>
      <c r="G13" s="238" t="s">
        <v>8</v>
      </c>
      <c r="H13" s="23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13" t="s">
        <v>21</v>
      </c>
      <c r="F14" s="13" t="s">
        <v>21</v>
      </c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4" t="s">
        <v>165</v>
      </c>
      <c r="C16" s="45" t="s">
        <v>166</v>
      </c>
      <c r="D16" s="91" t="s">
        <v>10</v>
      </c>
      <c r="E16" s="86" t="s">
        <v>10</v>
      </c>
      <c r="F16" s="86" t="s">
        <v>10</v>
      </c>
      <c r="G16" s="86" t="s">
        <v>124</v>
      </c>
      <c r="H16" s="86">
        <v>13148469</v>
      </c>
      <c r="I16" s="87">
        <v>19828295</v>
      </c>
      <c r="J16" s="88">
        <v>0.68152249431199996</v>
      </c>
      <c r="K16" s="89">
        <v>0.70397369012300004</v>
      </c>
      <c r="L16" s="89">
        <v>0.95292479761899995</v>
      </c>
      <c r="M16" s="89">
        <v>4.7075202381199999E-2</v>
      </c>
      <c r="N16" s="89">
        <v>1.5841805863800001E-2</v>
      </c>
      <c r="O16" s="89">
        <v>4.7008580414999998E-4</v>
      </c>
      <c r="P16" s="89">
        <v>2.1768992240599999E-2</v>
      </c>
      <c r="Q16" s="89">
        <v>1.7364074924200001E-4</v>
      </c>
      <c r="R16" s="89">
        <v>0</v>
      </c>
      <c r="S16" s="89">
        <v>9.2195017271999996E-3</v>
      </c>
      <c r="T16" s="89">
        <v>0.64080593717800005</v>
      </c>
      <c r="U16" s="89">
        <v>0.63650054192100003</v>
      </c>
      <c r="V16" s="89">
        <v>0.85731169793700002</v>
      </c>
      <c r="W16" s="89">
        <v>0</v>
      </c>
      <c r="X16" s="89">
        <v>0</v>
      </c>
      <c r="Y16" s="89">
        <v>0</v>
      </c>
      <c r="Z16" s="89">
        <v>0</v>
      </c>
      <c r="AA16" s="89">
        <v>0</v>
      </c>
    </row>
    <row r="17" spans="2:121" ht="15" customHeight="1" x14ac:dyDescent="0.25">
      <c r="B17" s="207" t="s">
        <v>165</v>
      </c>
      <c r="C17" s="208" t="s">
        <v>166</v>
      </c>
      <c r="D17" s="209" t="s">
        <v>10</v>
      </c>
      <c r="E17" s="210" t="s">
        <v>10</v>
      </c>
      <c r="F17" s="210" t="s">
        <v>10</v>
      </c>
      <c r="G17" s="210" t="s">
        <v>124</v>
      </c>
      <c r="H17" s="210">
        <v>13148469</v>
      </c>
      <c r="I17" s="211">
        <v>19828295</v>
      </c>
      <c r="J17" s="212">
        <v>0.68152249431199996</v>
      </c>
      <c r="K17" s="213">
        <v>0.70397369012300004</v>
      </c>
      <c r="L17" s="213">
        <v>0.95292479761899995</v>
      </c>
      <c r="M17" s="213">
        <v>4.7075202381199999E-2</v>
      </c>
      <c r="N17" s="213">
        <v>1.5841805863800001E-2</v>
      </c>
      <c r="O17" s="213">
        <v>4.7008580414999998E-4</v>
      </c>
      <c r="P17" s="213">
        <v>2.1768992240599999E-2</v>
      </c>
      <c r="Q17" s="213">
        <v>1.7364074924200001E-4</v>
      </c>
      <c r="R17" s="213">
        <v>0</v>
      </c>
      <c r="S17" s="213">
        <v>9.2195017271999996E-3</v>
      </c>
      <c r="T17" s="213">
        <v>0.64080593717800005</v>
      </c>
      <c r="U17" s="213">
        <v>0.63650054192100003</v>
      </c>
      <c r="V17" s="214">
        <v>0.85731169793700002</v>
      </c>
      <c r="W17" s="215">
        <v>0</v>
      </c>
      <c r="X17" s="214">
        <v>0</v>
      </c>
      <c r="Y17" s="213">
        <v>0</v>
      </c>
      <c r="Z17" s="213">
        <v>0</v>
      </c>
      <c r="AA17" s="213"/>
      <c r="CB17" s="10"/>
      <c r="DP17" s="15"/>
      <c r="DQ17" s="10"/>
    </row>
    <row r="18" spans="2:121" ht="15" customHeight="1" x14ac:dyDescent="0.25">
      <c r="B18" s="207" t="s">
        <v>165</v>
      </c>
      <c r="C18" s="208" t="s">
        <v>166</v>
      </c>
      <c r="D18" s="209" t="s">
        <v>10</v>
      </c>
      <c r="E18" s="210" t="s">
        <v>10</v>
      </c>
      <c r="F18" s="210" t="s">
        <v>10</v>
      </c>
      <c r="G18" s="210" t="s">
        <v>124</v>
      </c>
      <c r="H18" s="210">
        <v>13148469</v>
      </c>
      <c r="I18" s="211">
        <v>19828295</v>
      </c>
      <c r="J18" s="212">
        <v>0.68152249431199996</v>
      </c>
      <c r="K18" s="213">
        <v>0.70397369012300004</v>
      </c>
      <c r="L18" s="213">
        <v>0.95292479761899995</v>
      </c>
      <c r="M18" s="213">
        <v>4.7075202381199999E-2</v>
      </c>
      <c r="N18" s="213">
        <v>1.5841805863800001E-2</v>
      </c>
      <c r="O18" s="213">
        <v>4.7008580414999998E-4</v>
      </c>
      <c r="P18" s="213">
        <v>2.1768992240599999E-2</v>
      </c>
      <c r="Q18" s="213">
        <v>1.7364074924200001E-4</v>
      </c>
      <c r="R18" s="213">
        <v>0</v>
      </c>
      <c r="S18" s="213">
        <v>9.2195017271999996E-3</v>
      </c>
      <c r="T18" s="213">
        <v>0.64080593717800005</v>
      </c>
      <c r="U18" s="213">
        <v>0.63650054192100003</v>
      </c>
      <c r="V18" s="214">
        <v>0.85731169793700002</v>
      </c>
      <c r="W18" s="215">
        <v>0</v>
      </c>
      <c r="X18" s="214">
        <v>0</v>
      </c>
      <c r="Y18" s="213">
        <v>0</v>
      </c>
      <c r="Z18" s="213">
        <v>0</v>
      </c>
      <c r="AA18" s="213"/>
      <c r="CB18" s="10"/>
      <c r="DP18" s="15"/>
      <c r="DQ18" s="10"/>
    </row>
    <row r="19" spans="2:121" ht="15" customHeight="1" x14ac:dyDescent="0.25">
      <c r="B19" s="207" t="s">
        <v>165</v>
      </c>
      <c r="C19" s="208" t="s">
        <v>166</v>
      </c>
      <c r="D19" s="209" t="s">
        <v>10</v>
      </c>
      <c r="E19" s="210" t="s">
        <v>10</v>
      </c>
      <c r="F19" s="210" t="s">
        <v>10</v>
      </c>
      <c r="G19" s="210" t="s">
        <v>124</v>
      </c>
      <c r="H19" s="210">
        <v>13148469</v>
      </c>
      <c r="I19" s="211">
        <v>19828295</v>
      </c>
      <c r="J19" s="212">
        <v>0.68152249431199996</v>
      </c>
      <c r="K19" s="213">
        <v>0.70397369012300004</v>
      </c>
      <c r="L19" s="213">
        <v>0.95292479761899995</v>
      </c>
      <c r="M19" s="213">
        <v>4.7075202381199999E-2</v>
      </c>
      <c r="N19" s="213">
        <v>1.5841805863800001E-2</v>
      </c>
      <c r="O19" s="213">
        <v>4.7008580414999998E-4</v>
      </c>
      <c r="P19" s="213">
        <v>2.1768992240599999E-2</v>
      </c>
      <c r="Q19" s="213">
        <v>1.7364074924200001E-4</v>
      </c>
      <c r="R19" s="213">
        <v>0</v>
      </c>
      <c r="S19" s="213">
        <v>9.2195017271999996E-3</v>
      </c>
      <c r="T19" s="213">
        <v>0.64080593717800005</v>
      </c>
      <c r="U19" s="213">
        <v>0.63650054192100003</v>
      </c>
      <c r="V19" s="214">
        <v>0.85731169793700002</v>
      </c>
      <c r="W19" s="215">
        <v>0</v>
      </c>
      <c r="X19" s="214">
        <v>0</v>
      </c>
      <c r="Y19" s="213">
        <v>0</v>
      </c>
      <c r="Z19" s="213">
        <v>0</v>
      </c>
      <c r="AA19" s="213"/>
      <c r="CB19" s="10"/>
      <c r="DP19" s="15"/>
      <c r="DQ19" s="10"/>
    </row>
    <row r="20" spans="2:121" ht="15" customHeight="1" x14ac:dyDescent="0.25">
      <c r="B20" s="207" t="s">
        <v>165</v>
      </c>
      <c r="C20" s="208" t="s">
        <v>166</v>
      </c>
      <c r="D20" s="209" t="s">
        <v>10</v>
      </c>
      <c r="E20" s="210" t="s">
        <v>10</v>
      </c>
      <c r="F20" s="210" t="s">
        <v>10</v>
      </c>
      <c r="G20" s="210" t="s">
        <v>124</v>
      </c>
      <c r="H20" s="210">
        <v>13148469</v>
      </c>
      <c r="I20" s="211">
        <v>19828295</v>
      </c>
      <c r="J20" s="212">
        <v>0.68152249431199996</v>
      </c>
      <c r="K20" s="213">
        <v>0.70397369012300004</v>
      </c>
      <c r="L20" s="213">
        <v>0.95292479761899995</v>
      </c>
      <c r="M20" s="213">
        <v>4.7075202381199999E-2</v>
      </c>
      <c r="N20" s="213">
        <v>1.5841805863800001E-2</v>
      </c>
      <c r="O20" s="213">
        <v>4.7008580414999998E-4</v>
      </c>
      <c r="P20" s="213">
        <v>2.1768992240599999E-2</v>
      </c>
      <c r="Q20" s="213">
        <v>1.7364074924200001E-4</v>
      </c>
      <c r="R20" s="213">
        <v>0</v>
      </c>
      <c r="S20" s="213">
        <v>9.2195017271999996E-3</v>
      </c>
      <c r="T20" s="213">
        <v>0.64080593717800005</v>
      </c>
      <c r="U20" s="213">
        <v>0.63650054192100003</v>
      </c>
      <c r="V20" s="214">
        <v>0.85731169793700002</v>
      </c>
      <c r="W20" s="215">
        <v>0</v>
      </c>
      <c r="X20" s="214">
        <v>0</v>
      </c>
      <c r="Y20" s="213">
        <v>0</v>
      </c>
      <c r="Z20" s="213">
        <v>0</v>
      </c>
      <c r="AA20" s="213"/>
      <c r="CB20" s="10"/>
      <c r="DP20" s="15"/>
      <c r="DQ20" s="10"/>
    </row>
    <row r="21" spans="2:121" ht="15" customHeight="1" x14ac:dyDescent="0.25">
      <c r="B21" s="207" t="s">
        <v>165</v>
      </c>
      <c r="C21" s="208" t="s">
        <v>166</v>
      </c>
      <c r="D21" s="209" t="s">
        <v>10</v>
      </c>
      <c r="E21" s="210" t="s">
        <v>10</v>
      </c>
      <c r="F21" s="210" t="s">
        <v>10</v>
      </c>
      <c r="G21" s="210" t="s">
        <v>124</v>
      </c>
      <c r="H21" s="210">
        <v>13148469</v>
      </c>
      <c r="I21" s="211">
        <v>19828295</v>
      </c>
      <c r="J21" s="212">
        <v>0.68152249431199996</v>
      </c>
      <c r="K21" s="213">
        <v>0.70397369012300004</v>
      </c>
      <c r="L21" s="213">
        <v>0.95292479761899995</v>
      </c>
      <c r="M21" s="213">
        <v>4.7075202381199999E-2</v>
      </c>
      <c r="N21" s="213">
        <v>1.5841805863800001E-2</v>
      </c>
      <c r="O21" s="213">
        <v>4.7008580414999998E-4</v>
      </c>
      <c r="P21" s="213">
        <v>2.1768992240599999E-2</v>
      </c>
      <c r="Q21" s="213">
        <v>1.7364074924200001E-4</v>
      </c>
      <c r="R21" s="213">
        <v>0</v>
      </c>
      <c r="S21" s="213">
        <v>9.2195017271999996E-3</v>
      </c>
      <c r="T21" s="213">
        <v>0.64080593717800005</v>
      </c>
      <c r="U21" s="213">
        <v>0.63650054192100003</v>
      </c>
      <c r="V21" s="214">
        <v>0.85731169793700002</v>
      </c>
      <c r="W21" s="215">
        <v>0</v>
      </c>
      <c r="X21" s="214">
        <v>0</v>
      </c>
      <c r="Y21" s="213">
        <v>0</v>
      </c>
      <c r="Z21" s="213">
        <v>0</v>
      </c>
      <c r="AA21" s="213"/>
      <c r="CB21" s="10"/>
      <c r="DP21" s="15"/>
      <c r="DQ21" s="10"/>
    </row>
    <row r="22" spans="2:121" ht="15" customHeight="1" x14ac:dyDescent="0.25">
      <c r="B22" s="207" t="s">
        <v>165</v>
      </c>
      <c r="C22" s="208" t="s">
        <v>166</v>
      </c>
      <c r="D22" s="209" t="s">
        <v>10</v>
      </c>
      <c r="E22" s="210" t="s">
        <v>10</v>
      </c>
      <c r="F22" s="210" t="s">
        <v>10</v>
      </c>
      <c r="G22" s="210" t="s">
        <v>124</v>
      </c>
      <c r="H22" s="210">
        <v>13148469</v>
      </c>
      <c r="I22" s="211">
        <v>19828295</v>
      </c>
      <c r="J22" s="212">
        <v>0.68152249431199996</v>
      </c>
      <c r="K22" s="213">
        <v>0.70397369012300004</v>
      </c>
      <c r="L22" s="213">
        <v>0.95292479761899995</v>
      </c>
      <c r="M22" s="213">
        <v>4.7075202381199999E-2</v>
      </c>
      <c r="N22" s="213">
        <v>1.5841805863800001E-2</v>
      </c>
      <c r="O22" s="213">
        <v>4.7008580414999998E-4</v>
      </c>
      <c r="P22" s="213">
        <v>2.1768992240599999E-2</v>
      </c>
      <c r="Q22" s="213">
        <v>1.7364074924200001E-4</v>
      </c>
      <c r="R22" s="213">
        <v>0</v>
      </c>
      <c r="S22" s="213">
        <v>9.2195017271999996E-3</v>
      </c>
      <c r="T22" s="213">
        <v>0.64080593717800005</v>
      </c>
      <c r="U22" s="213">
        <v>0.63650054192100003</v>
      </c>
      <c r="V22" s="214">
        <v>0.85731169793700002</v>
      </c>
      <c r="W22" s="215">
        <v>0</v>
      </c>
      <c r="X22" s="214">
        <v>0</v>
      </c>
      <c r="Y22" s="213">
        <v>0</v>
      </c>
      <c r="Z22" s="213">
        <v>0</v>
      </c>
      <c r="AA22" s="213"/>
      <c r="CB22" s="10"/>
      <c r="DP22" s="15"/>
      <c r="DQ22" s="10"/>
    </row>
    <row r="23" spans="2:121" ht="15" customHeight="1" x14ac:dyDescent="0.25">
      <c r="B23" s="207" t="s">
        <v>165</v>
      </c>
      <c r="C23" s="208" t="s">
        <v>166</v>
      </c>
      <c r="D23" s="209" t="s">
        <v>10</v>
      </c>
      <c r="E23" s="210" t="s">
        <v>10</v>
      </c>
      <c r="F23" s="210" t="s">
        <v>10</v>
      </c>
      <c r="G23" s="210" t="s">
        <v>124</v>
      </c>
      <c r="H23" s="210">
        <v>13148469</v>
      </c>
      <c r="I23" s="211">
        <v>19828295</v>
      </c>
      <c r="J23" s="212">
        <v>0.68152249431199996</v>
      </c>
      <c r="K23" s="213">
        <v>0.70397369012300004</v>
      </c>
      <c r="L23" s="213">
        <v>0.95292479761899995</v>
      </c>
      <c r="M23" s="213">
        <v>4.7075202381199999E-2</v>
      </c>
      <c r="N23" s="213">
        <v>1.5841805863800001E-2</v>
      </c>
      <c r="O23" s="213">
        <v>4.7008580414999998E-4</v>
      </c>
      <c r="P23" s="213">
        <v>2.1768992240599999E-2</v>
      </c>
      <c r="Q23" s="213">
        <v>1.7364074924200001E-4</v>
      </c>
      <c r="R23" s="213">
        <v>0</v>
      </c>
      <c r="S23" s="213">
        <v>9.2195017271999996E-3</v>
      </c>
      <c r="T23" s="213">
        <v>0.64080593717800005</v>
      </c>
      <c r="U23" s="213">
        <v>0.63650054192100003</v>
      </c>
      <c r="V23" s="214">
        <v>0.85731169793700002</v>
      </c>
      <c r="W23" s="215">
        <v>0</v>
      </c>
      <c r="X23" s="214">
        <v>0</v>
      </c>
      <c r="Y23" s="213">
        <v>0</v>
      </c>
      <c r="Z23" s="213">
        <v>0</v>
      </c>
      <c r="AA23" s="213"/>
      <c r="CB23" s="10"/>
      <c r="DP23" s="15"/>
      <c r="DQ23" s="10"/>
    </row>
    <row r="24" spans="2:121" ht="15" customHeight="1" x14ac:dyDescent="0.25">
      <c r="B24" s="207" t="s">
        <v>165</v>
      </c>
      <c r="C24" s="208" t="s">
        <v>166</v>
      </c>
      <c r="D24" s="209" t="s">
        <v>10</v>
      </c>
      <c r="E24" s="210" t="s">
        <v>10</v>
      </c>
      <c r="F24" s="210" t="s">
        <v>10</v>
      </c>
      <c r="G24" s="210" t="s">
        <v>124</v>
      </c>
      <c r="H24" s="210">
        <v>13148469</v>
      </c>
      <c r="I24" s="211">
        <v>19828295</v>
      </c>
      <c r="J24" s="212">
        <v>0.68152249431199996</v>
      </c>
      <c r="K24" s="213">
        <v>0.70397369012300004</v>
      </c>
      <c r="L24" s="213">
        <v>0.95292479761899995</v>
      </c>
      <c r="M24" s="213">
        <v>4.7075202381199999E-2</v>
      </c>
      <c r="N24" s="213">
        <v>1.5841805863800001E-2</v>
      </c>
      <c r="O24" s="213">
        <v>4.7008580414999998E-4</v>
      </c>
      <c r="P24" s="213">
        <v>2.1768992240599999E-2</v>
      </c>
      <c r="Q24" s="213">
        <v>1.7364074924200001E-4</v>
      </c>
      <c r="R24" s="213">
        <v>0</v>
      </c>
      <c r="S24" s="213">
        <v>9.2195017271999996E-3</v>
      </c>
      <c r="T24" s="213">
        <v>0.64080593717800005</v>
      </c>
      <c r="U24" s="213">
        <v>0.63650054192100003</v>
      </c>
      <c r="V24" s="214">
        <v>0.85731169793700002</v>
      </c>
      <c r="W24" s="215">
        <v>0</v>
      </c>
      <c r="X24" s="214">
        <v>0</v>
      </c>
      <c r="Y24" s="213">
        <v>0</v>
      </c>
      <c r="Z24" s="213">
        <v>0</v>
      </c>
      <c r="AA24" s="213"/>
      <c r="CB24" s="10"/>
      <c r="DP24" s="15"/>
      <c r="DQ24" s="10"/>
    </row>
    <row r="25" spans="2:121" ht="15" customHeight="1" x14ac:dyDescent="0.25">
      <c r="B25" s="207" t="s">
        <v>165</v>
      </c>
      <c r="C25" s="208" t="s">
        <v>166</v>
      </c>
      <c r="D25" s="209" t="s">
        <v>10</v>
      </c>
      <c r="E25" s="210" t="s">
        <v>10</v>
      </c>
      <c r="F25" s="210" t="s">
        <v>10</v>
      </c>
      <c r="G25" s="210" t="s">
        <v>124</v>
      </c>
      <c r="H25" s="210">
        <v>13148469</v>
      </c>
      <c r="I25" s="211">
        <v>19828295</v>
      </c>
      <c r="J25" s="212">
        <v>0.68152249431199996</v>
      </c>
      <c r="K25" s="213">
        <v>0.70397369012300004</v>
      </c>
      <c r="L25" s="213">
        <v>0.95292479761899995</v>
      </c>
      <c r="M25" s="213">
        <v>4.7075202381199999E-2</v>
      </c>
      <c r="N25" s="213">
        <v>1.5841805863800001E-2</v>
      </c>
      <c r="O25" s="213">
        <v>4.7008580414999998E-4</v>
      </c>
      <c r="P25" s="213">
        <v>2.1768992240599999E-2</v>
      </c>
      <c r="Q25" s="213">
        <v>1.7364074924200001E-4</v>
      </c>
      <c r="R25" s="213">
        <v>0</v>
      </c>
      <c r="S25" s="213">
        <v>9.2195017271999996E-3</v>
      </c>
      <c r="T25" s="213">
        <v>0.64080593717800005</v>
      </c>
      <c r="U25" s="213">
        <v>0.63650054192100003</v>
      </c>
      <c r="V25" s="214">
        <v>0.85731169793700002</v>
      </c>
      <c r="W25" s="215">
        <v>0</v>
      </c>
      <c r="X25" s="214">
        <v>0</v>
      </c>
      <c r="Y25" s="213">
        <v>0</v>
      </c>
      <c r="Z25" s="213">
        <v>0</v>
      </c>
      <c r="AA25" s="213"/>
      <c r="CB25" s="10"/>
      <c r="DP25" s="15"/>
      <c r="DQ25" s="10"/>
    </row>
    <row r="26" spans="2:121" ht="15" customHeight="1" x14ac:dyDescent="0.25">
      <c r="B26" s="207" t="s">
        <v>165</v>
      </c>
      <c r="C26" s="208" t="s">
        <v>166</v>
      </c>
      <c r="D26" s="209" t="s">
        <v>10</v>
      </c>
      <c r="E26" s="210" t="s">
        <v>10</v>
      </c>
      <c r="F26" s="210" t="s">
        <v>10</v>
      </c>
      <c r="G26" s="210" t="s">
        <v>124</v>
      </c>
      <c r="H26" s="210">
        <v>13148469</v>
      </c>
      <c r="I26" s="211">
        <v>19828295</v>
      </c>
      <c r="J26" s="212">
        <v>0.68152249431199996</v>
      </c>
      <c r="K26" s="213">
        <v>0.70397369012300004</v>
      </c>
      <c r="L26" s="213">
        <v>0.95292479761899995</v>
      </c>
      <c r="M26" s="213">
        <v>4.7075202381199999E-2</v>
      </c>
      <c r="N26" s="213">
        <v>1.5841805863800001E-2</v>
      </c>
      <c r="O26" s="213">
        <v>4.7008580414999998E-4</v>
      </c>
      <c r="P26" s="213">
        <v>2.1768992240599999E-2</v>
      </c>
      <c r="Q26" s="213">
        <v>1.7364074924200001E-4</v>
      </c>
      <c r="R26" s="213">
        <v>0</v>
      </c>
      <c r="S26" s="213">
        <v>9.2195017271999996E-3</v>
      </c>
      <c r="T26" s="213">
        <v>0.64080593717800005</v>
      </c>
      <c r="U26" s="213">
        <v>0.63650054192100003</v>
      </c>
      <c r="V26" s="214">
        <v>0.85731169793700002</v>
      </c>
      <c r="W26" s="215">
        <v>0</v>
      </c>
      <c r="X26" s="214">
        <v>0</v>
      </c>
      <c r="Y26" s="213">
        <v>0</v>
      </c>
      <c r="Z26" s="213">
        <v>0</v>
      </c>
      <c r="AA26" s="213"/>
      <c r="CB26" s="10"/>
      <c r="DP26" s="15"/>
      <c r="DQ26" s="10"/>
    </row>
    <row r="27" spans="2:121" ht="15" customHeight="1" x14ac:dyDescent="0.25">
      <c r="B27" s="207" t="s">
        <v>165</v>
      </c>
      <c r="C27" s="208" t="s">
        <v>166</v>
      </c>
      <c r="D27" s="209" t="s">
        <v>10</v>
      </c>
      <c r="E27" s="210" t="s">
        <v>10</v>
      </c>
      <c r="F27" s="210" t="s">
        <v>10</v>
      </c>
      <c r="G27" s="210" t="s">
        <v>124</v>
      </c>
      <c r="H27" s="210">
        <v>13148469</v>
      </c>
      <c r="I27" s="211">
        <v>19828295</v>
      </c>
      <c r="J27" s="212">
        <v>0.68152249431199996</v>
      </c>
      <c r="K27" s="213">
        <v>0.70397369012300004</v>
      </c>
      <c r="L27" s="213">
        <v>0.95292479761899995</v>
      </c>
      <c r="M27" s="213">
        <v>4.7075202381199999E-2</v>
      </c>
      <c r="N27" s="213">
        <v>1.5841805863800001E-2</v>
      </c>
      <c r="O27" s="213">
        <v>4.7008580414999998E-4</v>
      </c>
      <c r="P27" s="213">
        <v>2.1768992240599999E-2</v>
      </c>
      <c r="Q27" s="213">
        <v>1.7364074924200001E-4</v>
      </c>
      <c r="R27" s="213">
        <v>0</v>
      </c>
      <c r="S27" s="213">
        <v>9.2195017271999996E-3</v>
      </c>
      <c r="T27" s="213">
        <v>0.64080593717800005</v>
      </c>
      <c r="U27" s="213">
        <v>0.63650054192100003</v>
      </c>
      <c r="V27" s="214">
        <v>0.85731169793700002</v>
      </c>
      <c r="W27" s="215">
        <v>0</v>
      </c>
      <c r="X27" s="214">
        <v>0</v>
      </c>
      <c r="Y27" s="213">
        <v>0</v>
      </c>
      <c r="Z27" s="213">
        <v>0</v>
      </c>
      <c r="AA27" s="213"/>
      <c r="CB27" s="10"/>
      <c r="DP27" s="15"/>
      <c r="DQ27" s="10"/>
    </row>
    <row r="28" spans="2:121" ht="15" customHeight="1" x14ac:dyDescent="0.25">
      <c r="B28" s="207" t="s">
        <v>165</v>
      </c>
      <c r="C28" s="208" t="s">
        <v>166</v>
      </c>
      <c r="D28" s="209" t="s">
        <v>10</v>
      </c>
      <c r="E28" s="210" t="s">
        <v>10</v>
      </c>
      <c r="F28" s="210" t="s">
        <v>10</v>
      </c>
      <c r="G28" s="210" t="s">
        <v>124</v>
      </c>
      <c r="H28" s="210">
        <v>13148469</v>
      </c>
      <c r="I28" s="211">
        <v>19828295</v>
      </c>
      <c r="J28" s="212">
        <v>0.68152249431199996</v>
      </c>
      <c r="K28" s="213">
        <v>0.70397369012300004</v>
      </c>
      <c r="L28" s="213">
        <v>0.95292479761899995</v>
      </c>
      <c r="M28" s="213">
        <v>4.7075202381199999E-2</v>
      </c>
      <c r="N28" s="213">
        <v>1.5841805863800001E-2</v>
      </c>
      <c r="O28" s="213">
        <v>4.7008580414999998E-4</v>
      </c>
      <c r="P28" s="213">
        <v>2.1768992240599999E-2</v>
      </c>
      <c r="Q28" s="213">
        <v>1.7364074924200001E-4</v>
      </c>
      <c r="R28" s="213">
        <v>0</v>
      </c>
      <c r="S28" s="213">
        <v>9.2195017271999996E-3</v>
      </c>
      <c r="T28" s="213">
        <v>0.64080593717800005</v>
      </c>
      <c r="U28" s="213">
        <v>0.63650054192100003</v>
      </c>
      <c r="V28" s="214">
        <v>0.85731169793700002</v>
      </c>
      <c r="W28" s="215">
        <v>0</v>
      </c>
      <c r="X28" s="214">
        <v>0</v>
      </c>
      <c r="Y28" s="213">
        <v>0</v>
      </c>
      <c r="Z28" s="213">
        <v>0</v>
      </c>
      <c r="AA28" s="213"/>
      <c r="CB28" s="10"/>
      <c r="DP28" s="15"/>
      <c r="DQ28" s="10"/>
    </row>
    <row r="29" spans="2:121" ht="15" customHeight="1" x14ac:dyDescent="0.25">
      <c r="B29" s="207" t="s">
        <v>165</v>
      </c>
      <c r="C29" s="208" t="s">
        <v>166</v>
      </c>
      <c r="D29" s="209" t="s">
        <v>10</v>
      </c>
      <c r="E29" s="210" t="s">
        <v>10</v>
      </c>
      <c r="F29" s="210" t="s">
        <v>10</v>
      </c>
      <c r="G29" s="210" t="s">
        <v>124</v>
      </c>
      <c r="H29" s="210">
        <v>13148469</v>
      </c>
      <c r="I29" s="211">
        <v>19828295</v>
      </c>
      <c r="J29" s="212">
        <v>0.68152249431199996</v>
      </c>
      <c r="K29" s="213">
        <v>0.70397369012300004</v>
      </c>
      <c r="L29" s="213">
        <v>0.95292479761899995</v>
      </c>
      <c r="M29" s="213">
        <v>4.7075202381199999E-2</v>
      </c>
      <c r="N29" s="213">
        <v>1.5841805863800001E-2</v>
      </c>
      <c r="O29" s="213">
        <v>4.7008580414999998E-4</v>
      </c>
      <c r="P29" s="213">
        <v>2.1768992240599999E-2</v>
      </c>
      <c r="Q29" s="213">
        <v>1.7364074924200001E-4</v>
      </c>
      <c r="R29" s="213">
        <v>0</v>
      </c>
      <c r="S29" s="213">
        <v>9.2195017271999996E-3</v>
      </c>
      <c r="T29" s="213">
        <v>0.64080593717800005</v>
      </c>
      <c r="U29" s="213">
        <v>0.63650054192100003</v>
      </c>
      <c r="V29" s="214">
        <v>0.85731169793700002</v>
      </c>
      <c r="W29" s="215">
        <v>0</v>
      </c>
      <c r="X29" s="214">
        <v>0</v>
      </c>
      <c r="Y29" s="213">
        <v>0</v>
      </c>
      <c r="Z29" s="213">
        <v>0</v>
      </c>
      <c r="AA29" s="213"/>
      <c r="CB29" s="10"/>
      <c r="DP29" s="15"/>
      <c r="DQ29" s="10"/>
    </row>
    <row r="30" spans="2:121" ht="15" customHeight="1" x14ac:dyDescent="0.25">
      <c r="B30" s="207" t="s">
        <v>165</v>
      </c>
      <c r="C30" s="208" t="s">
        <v>166</v>
      </c>
      <c r="D30" s="209" t="s">
        <v>10</v>
      </c>
      <c r="E30" s="210" t="s">
        <v>10</v>
      </c>
      <c r="F30" s="210" t="s">
        <v>10</v>
      </c>
      <c r="G30" s="210" t="s">
        <v>124</v>
      </c>
      <c r="H30" s="210">
        <v>13148469</v>
      </c>
      <c r="I30" s="211">
        <v>19828295</v>
      </c>
      <c r="J30" s="212">
        <v>0.68152249431199996</v>
      </c>
      <c r="K30" s="213">
        <v>0.70397369012300004</v>
      </c>
      <c r="L30" s="213">
        <v>0.95292479761899995</v>
      </c>
      <c r="M30" s="213">
        <v>4.7075202381199999E-2</v>
      </c>
      <c r="N30" s="213">
        <v>1.5841805863800001E-2</v>
      </c>
      <c r="O30" s="213">
        <v>4.7008580414999998E-4</v>
      </c>
      <c r="P30" s="213">
        <v>2.1768992240599999E-2</v>
      </c>
      <c r="Q30" s="213">
        <v>1.7364074924200001E-4</v>
      </c>
      <c r="R30" s="213">
        <v>0</v>
      </c>
      <c r="S30" s="213">
        <v>9.2195017271999996E-3</v>
      </c>
      <c r="T30" s="213">
        <v>0.64080593717800005</v>
      </c>
      <c r="U30" s="213">
        <v>0.63650054192100003</v>
      </c>
      <c r="V30" s="214">
        <v>0.85731169793700002</v>
      </c>
      <c r="W30" s="215">
        <v>0</v>
      </c>
      <c r="X30" s="214">
        <v>0</v>
      </c>
      <c r="Y30" s="213">
        <v>0</v>
      </c>
      <c r="Z30" s="213">
        <v>0</v>
      </c>
      <c r="AA30" s="213"/>
      <c r="CB30" s="10"/>
      <c r="DP30" s="15"/>
      <c r="DQ30" s="10"/>
    </row>
  </sheetData>
  <sheetProtection formatCells="0" insertColumns="0" insertRows="0" insertHyperlinks="0" deleteColumns="0" deleteRows="0" selectLockedCells="1" sort="0" autoFilter="0" pivotTables="0"/>
  <mergeCells count="9">
    <mergeCell ref="G6:H6"/>
    <mergeCell ref="A11:D11"/>
    <mergeCell ref="A10:D10"/>
    <mergeCell ref="G12:H12"/>
    <mergeCell ref="G13:H13"/>
    <mergeCell ref="G7:H7"/>
    <mergeCell ref="G8:H8"/>
    <mergeCell ref="A12:D12"/>
    <mergeCell ref="B9:D9"/>
  </mergeCells>
  <conditionalFormatting sqref="K16:AA30">
    <cfRule type="cellIs" dxfId="491" priority="24" operator="equal">
      <formula>""</formula>
    </cfRule>
  </conditionalFormatting>
  <conditionalFormatting sqref="A1:XFD5 A6:F9 I6:XFD6 I8:XFD9 I7:J7 AB7:XFD7 A10:XFD1048576">
    <cfRule type="expression" dxfId="490" priority="21">
      <formula>ISERROR(A1)</formula>
    </cfRule>
  </conditionalFormatting>
  <conditionalFormatting sqref="K16:AA30 K9:AA11">
    <cfRule type="expression" dxfId="489" priority="55">
      <formula>IF(K$7="N/A",0,IF(K$7="Above",K9&lt;=(1-$J$4)*K$8,K9&gt;=(1+$J$4)*K$8))</formula>
    </cfRule>
    <cfRule type="expression" dxfId="488" priority="56">
      <formula>IF(OR(K$7="N/A",K9=0),0,IF(K$7="Above",K9&gt;=(1+$J$3)*K$8,K9&lt;=(1-$J$3)*K$8))</formula>
    </cfRule>
  </conditionalFormatting>
  <conditionalFormatting sqref="G6:H8 G9">
    <cfRule type="expression" dxfId="487" priority="3">
      <formula>ISERROR(G6)</formula>
    </cfRule>
  </conditionalFormatting>
  <conditionalFormatting sqref="H9">
    <cfRule type="expression" dxfId="486" priority="2">
      <formula>ISERROR(H9)</formula>
    </cfRule>
  </conditionalFormatting>
  <conditionalFormatting sqref="K7:AA7">
    <cfRule type="expression" dxfId="485" priority="1">
      <formula>ISERROR(K7)</formula>
    </cfRule>
  </conditionalFormatting>
  <dataValidations disablePrompts="1" count="7">
    <dataValidation allowBlank="1" showInputMessage="1" showErrorMessage="1" prompt="Cell will highlight red if performance deviates by more than this percentage of the client goal." sqref="J4" xr:uid="{00000000-0002-0000-0100-000000000000}"/>
    <dataValidation allowBlank="1" showInputMessage="1" showErrorMessage="1" prompt="Cell will highlight yellow if performance deviates by more than this percentage of the client goal." sqref="J3" xr:uid="{00000000-0002-0000-0100-000001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100-000002000000}">
      <formula1>BMRK_List</formula1>
    </dataValidation>
    <dataValidation allowBlank="1" showInputMessage="1" showErrorMessage="1" errorTitle="Invalid Entry" error="Please select/enter a value from 1 to 5 from the dropdown." sqref="K10:AA11 J11 A13:D13 J9 AB12:XFD13 G9:G11 H9" xr:uid="{00000000-0002-0000-0100-000004000000}"/>
    <dataValidation type="list" allowBlank="1" showInputMessage="1" showErrorMessage="1" errorTitle="Invalid Entry" error="Please select/enter a value from 1 to 5 from the dropdown." sqref="K13:AA13" xr:uid="{00000000-0002-0000-01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100-000006000000}">
      <formula1>DeviceDropdown</formula1>
    </dataValidation>
    <dataValidation type="list" allowBlank="1" showInputMessage="1" showErrorMessage="1" sqref="B15" xr:uid="{00000000-0002-0000-0100-000007000000}">
      <formula1>"Brand, Region (Team), Region (Campaign)"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DC81B86-E415-4086-8C80-6F1077C5E63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Q35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55.7265625" style="50" hidden="1" customWidth="1"/>
    <col min="5" max="5" width="60.72656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5" width="17" style="14" customWidth="1"/>
    <col min="76" max="77" width="17.1796875" style="14" customWidth="1"/>
    <col min="78" max="98" width="17.1796875" style="10" customWidth="1"/>
    <col min="99" max="102" width="12.26953125" style="10" customWidth="1"/>
    <col min="103" max="110" width="12.453125" style="10" customWidth="1"/>
    <col min="111" max="120" width="8.81640625" style="10" customWidth="1"/>
    <col min="121" max="121" width="8.816406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3" t="s">
        <v>21</v>
      </c>
      <c r="D1" s="13" t="s">
        <v>21</v>
      </c>
      <c r="E1" s="11"/>
      <c r="F1" s="13" t="s">
        <v>21</v>
      </c>
      <c r="G1" s="13"/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</row>
    <row r="2" spans="1:121" ht="15.75" customHeight="1" thickBot="1" x14ac:dyDescent="0.3">
      <c r="B2" s="11"/>
      <c r="C2" s="16"/>
      <c r="D2" s="16"/>
      <c r="E2" s="11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</row>
    <row r="3" spans="1:121" ht="15" customHeight="1" x14ac:dyDescent="0.25">
      <c r="B3" s="11"/>
      <c r="C3" s="16"/>
      <c r="D3" s="16"/>
      <c r="E3" s="11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121" ht="15" customHeight="1" thickBot="1" x14ac:dyDescent="0.3">
      <c r="B4" s="11"/>
      <c r="C4" s="16"/>
      <c r="D4" s="16"/>
      <c r="E4" s="11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121" ht="15.75" customHeight="1" thickBot="1" x14ac:dyDescent="0.3">
      <c r="B5" s="11"/>
      <c r="C5" s="16"/>
      <c r="D5" s="16"/>
      <c r="E5" s="11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74"/>
      <c r="G6" s="230" t="s">
        <v>133</v>
      </c>
      <c r="H6" s="23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CX6" s="26"/>
    </row>
    <row r="7" spans="1:121" s="18" customFormat="1" ht="15" hidden="1" customHeight="1" thickBot="1" x14ac:dyDescent="0.4">
      <c r="A7" s="27"/>
      <c r="B7" s="28"/>
      <c r="C7" s="28"/>
      <c r="D7" s="28"/>
      <c r="E7" s="82"/>
      <c r="F7" s="74"/>
      <c r="G7" s="239" t="s">
        <v>132</v>
      </c>
      <c r="H7" s="24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CX7" s="26"/>
    </row>
    <row r="8" spans="1:121" s="18" customFormat="1" ht="15.7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Level Scorecard</v>
      </c>
      <c r="F8" s="74"/>
      <c r="G8" s="241" t="s">
        <v>132</v>
      </c>
      <c r="H8" s="242"/>
      <c r="I8" s="129"/>
      <c r="J8" s="127" t="s">
        <v>16</v>
      </c>
      <c r="K8" s="128">
        <f>VLOOKUP(K6,Benchmark_Legend[],MATCH(ColumnP[[#This Row],[Metric]],Benchmark_Legend[#Headers],0),0)</f>
        <v>0.7</v>
      </c>
      <c r="L8" s="128">
        <f>VLOOKUP(L6,Benchmark_Legend[],MATCH(ColumnP[[#This Row],[Metric]],Benchmark_Legend[#Headers],0),0)</f>
        <v>0.98</v>
      </c>
      <c r="M8" s="128">
        <f>VLOOKUP(M6,Benchmark_Legend[],MATCH(ColumnP[[#This Row],[Metric]],Benchmark_Legend[#Headers],0),0)</f>
        <v>0.95</v>
      </c>
      <c r="N8" s="128">
        <f>VLOOKUP(N6,Benchmark_Legend[],MATCH(ColumnP[[#This Row],[Metric]],Benchmark_Legend[#Headers],0),0)</f>
        <v>0.05</v>
      </c>
      <c r="O8" s="128">
        <f>VLOOKUP(O6,Benchmark_Legend[],MATCH(ColumnP[[#This Row],[Metric]],Benchmark_Legend[#Headers],0),0)</f>
        <v>0.02</v>
      </c>
      <c r="P8" s="128">
        <f>VLOOKUP(P6,Benchmark_Legend[],MATCH(ColumnP[[#This Row],[Metric]],Benchmark_Legend[#Headers],0),0)</f>
        <v>0.02</v>
      </c>
      <c r="Q8" s="128">
        <f>VLOOKUP(Q6,Benchmark_Legend[],MATCH(ColumnP[[#This Row],[Metric]],Benchmark_Legend[#Headers],0),0)</f>
        <v>0.01</v>
      </c>
      <c r="R8" s="128">
        <f>VLOOKUP(R6,Benchmark_Legend[],MATCH(ColumnP[[#This Row],[Metric]],Benchmark_Legend[#Headers],0),0)</f>
        <v>0.01</v>
      </c>
      <c r="S8" s="128">
        <f>VLOOKUP(S6,Benchmark_Legend[],MATCH(ColumnP[[#This Row],[Metric]],Benchmark_Legend[#Headers],0),0)</f>
        <v>0.01</v>
      </c>
      <c r="T8" s="128">
        <f>VLOOKUP(T6,Benchmark_Legend[],MATCH(ColumnP[[#This Row],[Metric]],Benchmark_Legend[#Headers],0),0)</f>
        <v>0.03</v>
      </c>
      <c r="U8" s="128">
        <f>VLOOKUP(U6,Benchmark_Legend[],MATCH(ColumnP[[#This Row],[Metric]],Benchmark_Legend[#Headers],0),0)</f>
        <v>0.55000000000000004</v>
      </c>
      <c r="V8" s="128">
        <f>VLOOKUP(V6,Benchmark_Legend[],MATCH(ColumnP[[#This Row],[Metric]],Benchmark_Legend[#Headers],0),0)</f>
        <v>0.6</v>
      </c>
      <c r="W8" s="128">
        <f>VLOOKUP(W6,Benchmark_Legend[],MATCH(ColumnP[[#This Row],[Metric]],Benchmark_Legend[#Headers],0),0)</f>
        <v>0.5</v>
      </c>
      <c r="X8" s="128">
        <f>VLOOKUP(X6,Benchmark_Legend[],MATCH(ColumnP[[#This Row],[Metric]],Benchmark_Legend[#Headers],0),0)</f>
        <v>0.35</v>
      </c>
      <c r="Y8" s="128">
        <f>VLOOKUP(Y6,Benchmark_Legend[],MATCH(ColumnP[[#This Row],[Metric]],Benchmark_Legend[#Headers],0),0)</f>
        <v>0.25</v>
      </c>
      <c r="Z8" s="128">
        <f>VLOOKUP(Z6,Benchmark_Legend[],MATCH(ColumnP[[#This Row],[Metric]],Benchmark_Legend[#Headers],0),0)</f>
        <v>0.35</v>
      </c>
      <c r="AA8" s="128">
        <f>VLOOKUP(AA6,Benchmark_Legend[],MATCH(ColumnP[[#This Row],[Metric]],Benchmark_Legend[#Headers],0),0)</f>
        <v>0.25</v>
      </c>
      <c r="CX8" s="26"/>
    </row>
    <row r="9" spans="1:121" s="18" customFormat="1" ht="15.75" customHeight="1" thickBot="1" x14ac:dyDescent="0.4">
      <c r="A9" s="22"/>
      <c r="B9" s="243" t="s">
        <v>154</v>
      </c>
      <c r="C9" s="243"/>
      <c r="D9" s="243"/>
      <c r="E9" s="243"/>
      <c r="F9" s="57"/>
      <c r="G9" s="118" t="s">
        <v>14</v>
      </c>
      <c r="H9" s="122" t="s">
        <v>14</v>
      </c>
      <c r="I9" s="110"/>
      <c r="J9" s="111" t="s">
        <v>130</v>
      </c>
      <c r="K9" s="114">
        <f t="array" aca="1" ref="K9" ca="1">SUM(
IF((DataP[Measured Rate 
'[% Measured']]&lt;&gt;"NULL"),
DataP[Measured Rate 
'[% Measured']]*
SUBTOTAL(9,OFFSET(DataP[Total Impressions],ROW(DataP[Total Impressions])-MIN(ROW(DataP[Total Impressions])),0,1))))
/
SUM(
IF((DataP[Measured Rate 
'[% Measured']]&lt;&gt;"NULL"),
SUBTOTAL(9,OFFSET(DataP[Total Impressions],ROW(DataP[Total Impressions])-MIN(ROW(DataP[Total Impressions])),0,1))))</f>
        <v>0.7039736901229996</v>
      </c>
      <c r="L9" s="114">
        <f t="array" aca="1" ref="L9" ca="1">SUM(
IF((DataP[See-Through Rate 
'[% Visible']]&lt;&gt;"NULL"),
DataP[See-Through Rate 
'[% Visible']]*
SUBTOTAL(9,OFFSET(DataP[Total Impressions],ROW(DataP[Total Impressions])-MIN(ROW(DataP[Total Impressions])),0,1))))
/
SUM(
IF((DataP[See-Through Rate 
'[% Visible']]&lt;&gt;"NULL"),
SUBTOTAL(9,OFFSET(DataP[Total Impressions],ROW(DataP[Total Impressions])-MIN(ROW(DataP[Total Impressions])),0,1))))</f>
        <v>0.95292479761899984</v>
      </c>
      <c r="M9" s="114">
        <f t="array" aca="1" ref="M9" ca="1">SUM(
IF((DataP[Brand Safety 
'[% Passed']]&lt;&gt;"NULL"),
DataP[Brand Safety 
'[% Passed']]*
SUBTOTAL(9,OFFSET(DataP[Total Impressions],ROW(DataP[Total Impressions])-MIN(ROW(DataP[Total Impressions])),0,1))))
/
SUM(
IF((DataP[Brand Safety 
'[% Passed']]&lt;&gt;"NULL"),
SUBTOTAL(9,OFFSET(DataP[Total Impressions],ROW(DataP[Total Impressions])-MIN(ROW(DataP[Total Impressions])),0,1))))</f>
        <v>4.7075202381199999E-2</v>
      </c>
      <c r="N9" s="114">
        <f t="array" aca="1" ref="N9" ca="1">SUM(
IF((DataP[Brand Safety 
'[% Failed']]&lt;&gt;"NULL"),
DataP[Brand Safety 
'[% Failed']]*
SUBTOTAL(9,OFFSET(DataP[Total Impressions],ROW(DataP[Total Impressions])-MIN(ROW(DataP[Total Impressions])),0,1))))
/
SUM(
IF((DataP[Brand Safety 
'[% Failed']]&lt;&gt;"NULL"),
SUBTOTAL(9,OFFSET(DataP[Total Impressions],ROW(DataP[Total Impressions])-MIN(ROW(DataP[Total Impressions])),0,1))))</f>
        <v>1.584180586379999E-2</v>
      </c>
      <c r="O9" s="114">
        <f t="array" aca="1" ref="O9" ca="1">SUM(
IF((DataP[Brand Safety 
'[% Failed by Content']]&lt;&gt;"NULL"),
DataP[Brand Safety 
'[% Failed by Content']]*
SUBTOTAL(9,OFFSET(DataP[Total Impressions],ROW(DataP[Total Impressions])-MIN(ROW(DataP[Total Impressions])),0,1))))
/
SUM(
IF((DataP[Brand Safety 
'[% Failed by Content']]&lt;&gt;"NULL"),
SUBTOTAL(9,OFFSET(DataP[Total Impressions],ROW(DataP[Total Impressions])-MIN(ROW(DataP[Total Impressions])),0,1))))</f>
        <v>4.7008580414999987E-4</v>
      </c>
      <c r="P9" s="114">
        <f t="array" aca="1" ref="P9" ca="1">SUM(
IF((DataP[Brand Safety 
'[% Failed by Geo']]&lt;&gt;"NULL"),
DataP[Brand Safety 
'[% Failed by Geo']]*
SUBTOTAL(9,OFFSET(DataP[Total Impressions],ROW(DataP[Total Impressions])-MIN(ROW(DataP[Total Impressions])),0,1))))
/
SUM(
IF((DataP[Brand Safety 
'[% Failed by Geo']]&lt;&gt;"NULL"),
SUBTOTAL(9,OFFSET(DataP[Total Impressions],ROW(DataP[Total Impressions])-MIN(ROW(DataP[Total Impressions])),0,1))))</f>
        <v>2.1768992240599996E-2</v>
      </c>
      <c r="Q9" s="114">
        <f t="array" aca="1" ref="Q9" ca="1">SUM(
IF((DataP[Brand Safety 
'[% Failed by Keyword']]&lt;&gt;"NULL"),
DataP[Brand Safety 
'[% Failed by Keyword']]*
SUBTOTAL(9,OFFSET(DataP[Total Impressions],ROW(DataP[Total Impressions])-MIN(ROW(DataP[Total Impressions])),0,1))))
/
SUM(
IF((DataP[Brand Safety 
'[% Failed by Keyword']]&lt;&gt;"NULL"),
SUBTOTAL(9,OFFSET(DataP[Total Impressions],ROW(DataP[Total Impressions])-MIN(ROW(DataP[Total Impressions])),0,1))))</f>
        <v>1.7364074924199996E-4</v>
      </c>
      <c r="R9" s="114">
        <f t="array" aca="1" ref="R9" ca="1">SUM(
IF((DataP[Brand Safety 
'[% Failed by Blacklist']]&lt;&gt;"NULL"),
DataP[Brand Safety 
'[% Failed by Blacklist']]*
SUBTOTAL(9,OFFSET(DataP[Total Impressions],ROW(DataP[Total Impressions])-MIN(ROW(DataP[Total Impressions])),0,1))))
/
SUM(
IF((DataP[Brand Safety 
'[% Failed by Blacklist']]&lt;&gt;"NULL"),
SUBTOTAL(9,OFFSET(DataP[Total Impressions],ROW(DataP[Total Impressions])-MIN(ROW(DataP[Total Impressions])),0,1))))</f>
        <v>0</v>
      </c>
      <c r="S9" s="114">
        <f t="array" aca="1" ref="S9" ca="1">SUM(
IF((DataP[Brand Safety 
'[% Failed by Language']]&lt;&gt;"NULL"),
DataP[Brand Safety 
'[% Failed by Language']]*
SUBTOTAL(9,OFFSET(DataP[Total Impressions],ROW(DataP[Total Impressions])-MIN(ROW(DataP[Total Impressions])),0,1))))
/
SUM(
IF((DataP[Brand Safety 
'[% Failed by Language']]&lt;&gt;"NULL"),
SUBTOTAL(9,OFFSET(DataP[Total Impressions],ROW(DataP[Total Impressions])-MIN(ROW(DataP[Total Impressions])),0,1))))</f>
        <v>9.2195017271999927E-3</v>
      </c>
      <c r="T9" s="114">
        <f t="array" aca="1" ref="T9" ca="1">SUM(
IF((DataP[Fraud 
'[% Fraud']]&lt;&gt;"NULL"),
DataP[Fraud 
'[% Fraud']]*
SUBTOTAL(9,OFFSET(DataP[Total Impressions],ROW(DataP[Total Impressions])-MIN(ROW(DataP[Total Impressions])),0,1))))
/
SUM(
IF((DataP[Fraud 
'[% Fraud']]&lt;&gt;"NULL"),
SUBTOTAL(9,OFFSET(DataP[Total Impressions],ROW(DataP[Total Impressions])-MIN(ROW(DataP[Total Impressions])),0,1))))</f>
        <v>0.64080593717799972</v>
      </c>
      <c r="U9" s="114">
        <f t="array" aca="1" ref="U9" ca="1">SUM(
IF((DataP[Viewability 
'[Total Viewable Rate (Total Net Metrics)']]&lt;&gt;"NULL"),
DataP[Viewability 
'[Total Viewable Rate (Total Net Metrics)']]*SUBTOTAL(9,OFFSET(DataP[Measured Impressions],ROW(DataP[Measured Impressions])-MIN(ROW(DataP[Measured Impressions])),0,1))))
/
SUM(
IF((DataP[Viewability 
'[Total Viewable Rate (Total Net Metrics)']]&lt;&gt;"NULL"),
SUBTOTAL(9,OFFSET(DataP[Measured Impressions],ROW(DataP[Measured Impressions])-MIN(ROW(DataP[Measured Impressions])),0,1))))</f>
        <v>0.63650054192099981</v>
      </c>
      <c r="V9" s="114">
        <f t="array" aca="1" ref="V9" ca="1">SUM(
IF((DataP[Display Viewability 
'[Total Viewable Rate (Total Net Metrics)']]&lt;&gt;"NULL"),
DataP[Display Viewability 
'[Total Viewable Rate (Total Net Metrics)']]*SUBTOTAL(9,OFFSET(DataP[Measured Impressions],ROW(DataP[Measured Impressions])-MIN(ROW(DataP[Measured Impressions])),0,1))))
/
SUM(
IF((DataP[Display Viewability 
'[Total Viewable Rate (Total Net Metrics)']]&lt;&gt;"NULL"),
SUBTOTAL(9,OFFSET(DataP[Measured Impressions],ROW(DataP[Measured Impressions])-MIN(ROW(DataP[Measured Impressions])),0,1))))</f>
        <v>0.85731169793699979</v>
      </c>
      <c r="W9" s="114">
        <f t="array" aca="1" ref="W9" ca="1">SUM(
IF((DataP[Video Viewability 
'[Total Viewable Rate (Total Net Metrics)']]&lt;&gt;"NULL"),
DataP[Video Viewability 
'[Total Viewable Rate (Total Net Metrics)']]*SUBTOTAL(9,OFFSET(DataP[Measured Impressions],ROW(DataP[Measured Impressions])-MIN(ROW(DataP[Measured Impressions])),0,1))))
/
SUM(
IF((DataP[Video Viewability 
'[Total Viewable Rate (Total Net Metrics)']]&lt;&gt;"NULL"),
SUBTOTAL(9,OFFSET(DataP[Measured Impressions],ROW(DataP[Measured Impressions])-MIN(ROW(DataP[Measured Impressions])),0,1))))</f>
        <v>0</v>
      </c>
      <c r="X9" s="114">
        <f t="array" aca="1" ref="X9" ca="1">SUM(
IF((DataP[GroupM Viewability 
'[% Display Ads Fully in View']]&lt;&gt;"NULL"),
DataP[GroupM Viewability 
'[% Display Ads Fully in View']]*SUBTOTAL(9,OFFSET(DataP[Measured Impressions],ROW(DataP[Measured Impressions])-MIN(ROW(DataP[Measured Impressions])),0,1))))
/
SUM(
IF((DataP[GroupM Viewability 
'[% Display Ads Fully in View']]&lt;&gt;"NULL"),
SUBTOTAL(9,OFFSET(DataP[Measured Impressions],ROW(DataP[Measured Impressions])-MIN(ROW(DataP[Measured Impressions])),0,1))))</f>
        <v>0</v>
      </c>
      <c r="Y9" s="114">
        <f t="array" aca="1" ref="Y9" ca="1">SUM(
IF((DataP[GroupM Viewability 
'[% Videos Fully in View']]&lt;&gt;"NULL"),
DataP[GroupM Viewability 
'[% Videos Fully in View']]*SUBTOTAL(9,OFFSET(DataP[Measured Impressions],ROW(DataP[Measured Impressions])-MIN(ROW(DataP[Measured Impressions])),0,1))))
/
SUM(
IF((DataP[GroupM Viewability 
'[% Videos Fully in View']]&lt;&gt;"NULL"),
SUBTOTAL(9,OFFSET(DataP[Measured Impressions],ROW(DataP[Measured Impressions])-MIN(ROW(DataP[Measured Impressions])),0,1))))</f>
        <v>0</v>
      </c>
      <c r="Z9" s="114">
        <f t="array" aca="1" ref="Z9" ca="1">SUM(
IF((DataP[Publicis Viewability 
'[% Display Ads Fully in View']]&lt;&gt;"NULL"),
DataP[Publicis Viewability 
'[% Display Ads Fully in View']]*SUBTOTAL(9,OFFSET(DataP[Measured Impressions],ROW(DataP[Measured Impressions])-MIN(ROW(DataP[Measured Impressions])),0,1))))
/
SUM(
IF((DataP[Publicis Viewability 
'[% Display Ads Fully in View']]&lt;&gt;"NULL"),
SUBTOTAL(9,OFFSET(DataP[Measured Impressions],ROW(DataP[Measured Impressions])-MIN(ROW(DataP[Measured Impressions])),0,1))))</f>
        <v>0</v>
      </c>
      <c r="AA9" s="114">
        <f t="array" aca="1" ref="AA9" ca="1">SUM(
IF((DataP[Publicis Viewability 
'[% Videos Fully in View']]&lt;&gt;"NULL"),
DataP[Publicis Viewability 
'[% Videos Fully in View']]*SUBTOTAL(9,OFFSET(DataP[Measured Impressions],ROW(DataP[Measured Impressions])-MIN(ROW(DataP[Measured Impressions])),0,1))))
/
SUM(
IF((DataP[Publicis Viewability 
'[% Videos Fully in View']]&lt;&gt;"NULL"),
SUBTOTAL(9,OFFSET(DataP[Measured Impressions],ROW(DataP[Measured Impressions])-MIN(ROW(DataP[Measured Impressions])),0,1))))</f>
        <v>1.6666666666666666E-2</v>
      </c>
      <c r="CX9" s="26"/>
    </row>
    <row r="10" spans="1:121" s="18" customFormat="1" ht="15.65" hidden="1" customHeight="1" x14ac:dyDescent="0.35">
      <c r="A10" s="27"/>
      <c r="B10" s="28"/>
      <c r="C10" s="28"/>
      <c r="D10" s="28"/>
      <c r="E10" s="60"/>
      <c r="F10" s="57"/>
      <c r="G10" s="116" t="s">
        <v>14</v>
      </c>
      <c r="H10" s="116"/>
      <c r="I10" s="27"/>
      <c r="J10" s="102" t="s">
        <v>126</v>
      </c>
      <c r="K10" s="31" t="e">
        <f t="array" aca="1" ref="K10" ca="1">SUM(
IF(DataP[Measured Rate 
'[% Measured']]&lt;&gt;"NULL",
IF(DataP[Device Type]=ColumnP[[#This Row],[Metric]],
DataP[Measured Rate 
'[% Measured']]*
SUBTOTAL(9,OFFSET(DataP[Total Impressions],ROW(DataP[Total Impressions])-MIN(ROW(DataP[Total Impressions])),0,1)))))
/
SUM(
IF(DataP[Measured Rate 
'[% Measured']]&lt;&gt;"NULL",
IF(DataP[Device Type]=ColumnP[[#This Row],[Metric]],
SUBTOTAL(9,OFFSET(DataP[Total Impressions],ROW(DataP[Total Impressions])-MIN(ROW(DataP[Total Impressions])),0,1)))))</f>
        <v>#DIV/0!</v>
      </c>
      <c r="L10" s="32" t="e">
        <f t="array" aca="1" ref="L10" ca="1">SUM(
IF(DataP[See-Through Rate 
'[% Visible']]&lt;&gt;"NULL",
IF(DataP[Device Type]=ColumnP[[#This Row],[Metric]],
DataP[See-Through Rate 
'[% Visible']]*
SUBTOTAL(9,OFFSET(DataP[Total Impressions],ROW(DataP[Total Impressions])-MIN(ROW(DataP[Total Impressions])),0,1)))))
/
SUM(
IF(DataP[See-Through Rate 
'[% Visible']]&lt;&gt;"NULL",
IF(DataP[Device Type]=ColumnP[[#This Row],[Metric]],
SUBTOTAL(9,OFFSET(DataP[Total Impressions],ROW(DataP[Total Impressions])-MIN(ROW(DataP[Total Impressions])),0,1)))))</f>
        <v>#DIV/0!</v>
      </c>
      <c r="M10" s="32" t="e">
        <f t="array" aca="1" ref="M10" ca="1">SUM(
IF(DataP[Brand Safety 
'[% Passed']]&lt;&gt;"NULL",
IF(DataP[Device Type]=ColumnP[[#This Row],[Metric]],
DataP[Brand Safety 
'[% Passed']]*
SUBTOTAL(9,OFFSET(DataP[Total Impressions],ROW(DataP[Total Impressions])-MIN(ROW(DataP[Total Impressions])),0,1)))))
/
SUM(
IF(DataP[Brand Safety 
'[% Passed']]&lt;&gt;"NULL",
IF(DataP[Device Type]=ColumnP[[#This Row],[Metric]],
SUBTOTAL(9,OFFSET(DataP[Total Impressions],ROW(DataP[Total Impressions])-MIN(ROW(DataP[Total Impressions])),0,1)))))</f>
        <v>#DIV/0!</v>
      </c>
      <c r="N10" s="32" t="e">
        <f t="array" aca="1" ref="N10" ca="1">SUM(
IF(DataP[Brand Safety 
'[% Failed']]&lt;&gt;"NULL",
IF(DataP[Device Type]=ColumnP[[#This Row],[Metric]],
DataP[Brand Safety 
'[% Failed']]*
SUBTOTAL(9,OFFSET(DataP[Total Impressions],ROW(DataP[Total Impressions])-MIN(ROW(DataP[Total Impressions])),0,1)))))
/
SUM(
IF(DataP[Brand Safety 
'[% Failed']]&lt;&gt;"NULL",
IF(DataP[Device Type]=ColumnP[[#This Row],[Metric]],
SUBTOTAL(9,OFFSET(DataP[Total Impressions],ROW(DataP[Total Impressions])-MIN(ROW(DataP[Total Impressions])),0,1)))))</f>
        <v>#DIV/0!</v>
      </c>
      <c r="O10" s="32" t="e">
        <f t="array" aca="1" ref="O10" ca="1">SUM(
IF(DataP[Brand Safety 
'[% Failed by Content']]&lt;&gt;"NULL",
IF(DataP[Device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IF(DataP[Device Type]=ColumnP[[#This Row],[Metric]],
SUBTOTAL(9,OFFSET(DataP[Total Impressions],ROW(DataP[Total Impressions])-MIN(ROW(DataP[Total Impressions])),0,1)))))</f>
        <v>#DIV/0!</v>
      </c>
      <c r="P10" s="32" t="e">
        <f t="array" aca="1" ref="P10" ca="1">SUM(
IF(DataP[Brand Safety 
'[% Failed by Geo']]&lt;&gt;"NULL",
IF(DataP[Device Type]=ColumnP[[#This Row],[Metric]],
DataP[Brand Safety 
'[% Failed by Geo']]*
SUBTOTAL(9,OFFSET(DataP[Total Impressions],ROW(DataP[Total Impressions])-MIN(ROW(DataP[Total Impressions])),0,1)))))
/
SUM(
IF(DataP[Brand Safety 
'[% Failed by Geo']]&lt;&gt;"NULL",
IF(DataP[Device Type]=ColumnP[[#This Row],[Metric]],
SUBTOTAL(9,OFFSET(DataP[Total Impressions],ROW(DataP[Total Impressions])-MIN(ROW(DataP[Total Impressions])),0,1)))))</f>
        <v>#DIV/0!</v>
      </c>
      <c r="Q10" s="32" t="e">
        <f t="array" aca="1" ref="Q10" ca="1">SUM(
IF(DataP[Brand Safety 
'[% Failed by Keyword']]&lt;&gt;"NULL",
IF(DataP[Device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IF(DataP[Device Type]=ColumnP[[#This Row],[Metric]],
SUBTOTAL(9,OFFSET(DataP[Total Impressions],ROW(DataP[Total Impressions])-MIN(ROW(DataP[Total Impressions])),0,1)))))</f>
        <v>#DIV/0!</v>
      </c>
      <c r="R10" s="32" t="e">
        <f t="array" aca="1" ref="R10" ca="1">SUM(
IF(DataP[Brand Safety 
'[% Failed by Blacklist']]&lt;&gt;"NULL",
IF(DataP[Device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IF(DataP[Device Type]=ColumnP[[#This Row],[Metric]],
SUBTOTAL(9,OFFSET(DataP[Total Impressions],ROW(DataP[Total Impressions])-MIN(ROW(DataP[Total Impressions])),0,1)))))</f>
        <v>#DIV/0!</v>
      </c>
      <c r="S10" s="32" t="e">
        <f t="array" aca="1" ref="S10" ca="1">SUM(
IF(DataP[Brand Safety 
'[% Failed by Language']]&lt;&gt;"NULL",
IF(DataP[Device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IF(DataP[Device Type]=ColumnP[[#This Row],[Metric]],
SUBTOTAL(9,OFFSET(DataP[Total Impressions],ROW(DataP[Total Impressions])-MIN(ROW(DataP[Total Impressions])),0,1)))))</f>
        <v>#DIV/0!</v>
      </c>
      <c r="T10" s="32" t="e">
        <f t="array" aca="1" ref="T10" ca="1">SUM(
IF(DataP[Fraud 
'[% Fraud']]&lt;&gt;"NULL",
IF(DataP[Device Type]=ColumnP[[#This Row],[Metric]],
DataP[Fraud 
'[% Fraud']]*
SUBTOTAL(9,OFFSET(DataP[Total Impressions],ROW(DataP[Total Impressions])-MIN(ROW(DataP[Total Impressions])),0,1)))))
/
SUM(
IF(DataP[Fraud 
'[% Fraud']]&lt;&gt;"NULL",
IF(DataP[Device Type]=ColumnP[[#This Row],[Metric]],
SUBTOTAL(9,OFFSET(DataP[Total Impressions],ROW(DataP[Total Impressions])-MIN(ROW(DataP[Total Impressions])),0,1)))))</f>
        <v>#DIV/0!</v>
      </c>
      <c r="U10" s="32" t="e">
        <f t="array" aca="1" ref="U10" ca="1">SUM(
IF(DataP[Viewability 
'[Total Viewable Rate (Total Net Metrics)']]&lt;&gt;"NULL",
IF(DataP[Device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V10" s="32" t="e">
        <f t="array" aca="1" ref="V10" ca="1">SUM(
IF(DataP[Display Viewability 
'[Total Viewable Rate (Total Net Metrics)']]&lt;&gt;"NULL",
IF(DataP[Device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W10" s="32" t="e">
        <f t="array" aca="1" ref="W10" ca="1">SUM(
IF(DataP[Video Viewability 
'[Total Viewable Rate (Total Net Metrics)']]&lt;&gt;"NULL",
IF(DataP[Device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IF(DataP[Device Type]=ColumnP[[#This Row],[Metric]],
SUBTOTAL(9,OFFSET(DataP[Total Impressions],ROW(DataP[Total Impressions])-MIN(ROW(DataP[Total Impressions])),0,1)))))</f>
        <v>#DIV/0!</v>
      </c>
      <c r="X10" s="32" t="e">
        <f t="array" aca="1" ref="X10" ca="1">SUM(
IF(DataP[GroupM Viewability 
'[% Display Ads Fully in View']]&lt;&gt;"NULL",
IF(DataP[Device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Y10" s="32" t="e">
        <f t="array" aca="1" ref="Y10" ca="1">SUM(
IF(DataP[GroupM Viewability 
'[% Videos Fully in View']]&lt;&gt;"NULL",
IF(DataP[Device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IF(DataP[Device Type]=ColumnP[[#This Row],[Metric]],
SUBTOTAL(9,OFFSET(DataP[Total Impressions],ROW(DataP[Total Impressions])-MIN(ROW(DataP[Total Impressions])),0,1)))))</f>
        <v>#DIV/0!</v>
      </c>
      <c r="Z10" s="32" t="e">
        <f t="array" aca="1" ref="Z10" ca="1">SUM(
IF(DataP[Publicis Viewability 
'[% Display Ads Fully in View']]&lt;&gt;"NULL",
IF(DataP[Device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IF(DataP[Device Type]=ColumnP[[#This Row],[Metric]],
SUBTOTAL(9,OFFSET(DataP[Total Impressions],ROW(DataP[Total Impressions])-MIN(ROW(DataP[Total Impressions])),0,1)))))</f>
        <v>#DIV/0!</v>
      </c>
      <c r="AA10" s="32" t="e">
        <f t="array" aca="1" ref="AA10" ca="1">SUM(
IF(DataP[Publicis Viewability 
'[% Videos Fully in View']]&lt;&gt;"NULL",
IF(DataP[Device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IF(DataP[Device Type]=ColumnP[[#This Row],[Metric]],
SUBTOTAL(9,OFFSET(DataP[Total Impressions],ROW(DataP[Total Impressions])-MIN(ROW(DataP[Total Impressions])),0,1)))))</f>
        <v>#DIV/0!</v>
      </c>
      <c r="CX10" s="26"/>
    </row>
    <row r="11" spans="1:121" s="18" customFormat="1" ht="16.5" hidden="1" customHeight="1" x14ac:dyDescent="0.35">
      <c r="A11" s="27"/>
      <c r="B11" s="28"/>
      <c r="C11" s="28"/>
      <c r="D11" s="28"/>
      <c r="E11" s="60"/>
      <c r="F11" s="57"/>
      <c r="G11" s="116" t="s">
        <v>14</v>
      </c>
      <c r="H11" s="116"/>
      <c r="I11" s="27"/>
      <c r="J11" s="102" t="s">
        <v>140</v>
      </c>
      <c r="K11" s="31" t="e">
        <f t="array" aca="1" ref="K11" ca="1">SUM(
IF(DataP[Measured Rate 
'[% Measured']]&lt;&gt;"NULL",
IF(DataP[Partner Type]=ColumnP[[#This Row],[Metric]],
DataP[Measured Rate 
'[% Measured']]*
SUBTOTAL(9,OFFSET(DataP[Total Impressions],ROW(DataP[Total Impressions])-MIN(ROW(DataP[Total Impressions])),0,1)))))
/
SUM(
IF(DataP[Measured Rate 
'[% Measured']]&lt;&gt;"NULL",
IF(DataP[Partner Type]=ColumnP[[#This Row],[Metric]],
SUBTOTAL(9,OFFSET(DataP[Total Impressions],ROW(DataP[Total Impressions])-MIN(ROW(DataP[Total Impressions])),0,1)))))</f>
        <v>#DIV/0!</v>
      </c>
      <c r="L11" s="32" t="e">
        <f t="array" aca="1" ref="L11" ca="1">SUM(
IF(DataP[See-Through Rate 
'[% Visible']]&lt;&gt;"NULL",
IF(DataP[Partner Type]=ColumnP[[#This Row],[Metric]],
DataP[See-Through Rate 
'[% Visible']]*
SUBTOTAL(9,OFFSET(DataP[Total Impressions],ROW(DataP[Total Impressions])-MIN(ROW(DataP[Total Impressions])),0,1)))))
/
SUM(
IF(DataP[See-Through Rate 
'[% Visible']]&lt;&gt;"NULL",
IF(DataP[Partner Type]=ColumnP[[#This Row],[Metric]],
SUBTOTAL(9,OFFSET(DataP[Total Impressions],ROW(DataP[Total Impressions])-MIN(ROW(DataP[Total Impressions])),0,1)))))</f>
        <v>#DIV/0!</v>
      </c>
      <c r="M11" s="32" t="e">
        <f t="array" aca="1" ref="M11" ca="1">SUM(
IF(DataP[Brand Safety 
'[% Passed']]&lt;&gt;"NULL",
IF(DataP[Partner Type]=ColumnP[[#This Row],[Metric]],
DataP[Brand Safety 
'[% Passed']]*
SUBTOTAL(9,OFFSET(DataP[Total Impressions],ROW(DataP[Total Impressions])-MIN(ROW(DataP[Total Impressions])),0,1)))))
/
SUM(
IF(DataP[Brand Safety 
'[% Passed']]&lt;&gt;"NULL",
IF(DataP[Partner Type]=ColumnP[[#This Row],[Metric]],
SUBTOTAL(9,OFFSET(DataP[Total Impressions],ROW(DataP[Total Impressions])-MIN(ROW(DataP[Total Impressions])),0,1)))))</f>
        <v>#DIV/0!</v>
      </c>
      <c r="N11" s="32" t="e">
        <f t="array" aca="1" ref="N11" ca="1">SUM(
IF(DataP[Brand Safety 
'[% Failed']]&lt;&gt;"NULL",
IF(DataP[Partner Type]=ColumnP[[#This Row],[Metric]],
DataP[Brand Safety 
'[% Failed']]*
SUBTOTAL(9,OFFSET(DataP[Total Impressions],ROW(DataP[Total Impressions])-MIN(ROW(DataP[Total Impressions])),0,1)))))
/
SUM(
IF(DataP[Brand Safety 
'[% Failed']]&lt;&gt;"NULL",
IF(DataP[Partner Type]=ColumnP[[#This Row],[Metric]],
SUBTOTAL(9,OFFSET(DataP[Total Impressions],ROW(DataP[Total Impressions])-MIN(ROW(DataP[Total Impressions])),0,1)))))</f>
        <v>#DIV/0!</v>
      </c>
      <c r="O11" s="32" t="e">
        <f t="array" aca="1" ref="O11" ca="1">SUM(
IF(DataP[Brand Safety 
'[% Failed by Content']]&lt;&gt;"NULL",
IF(DataP[Partner Type]=ColumnP[[#This Row],[Metric]],
DataP[Brand Safety 
'[% Failed by Content']]*
SUBTOTAL(9,OFFSET(DataP[Total Impressions],ROW(DataP[Total Impressions])-MIN(ROW(DataP[Total Impressions])),0,1)))))
/
SUM(
IF(DataP[Brand Safety 
'[% Failed by Content']]&lt;&gt;"NULL",
IF(DataP[Partner Type]=ColumnP[[#This Row],[Metric]],
SUBTOTAL(9,OFFSET(DataP[Total Impressions],ROW(DataP[Total Impressions])-MIN(ROW(DataP[Total Impressions])),0,1)))))</f>
        <v>#DIV/0!</v>
      </c>
      <c r="P11" s="32" t="e">
        <f t="array" aca="1" ref="P11" ca="1">SUM(
IF(DataP[Brand Safety 
'[% Failed by Geo']]&lt;&gt;"NULL",
IF(DataP[Partner Type]=ColumnP[[#This Row],[Metric]],
DataP[Brand Safety 
'[% Failed by Geo']]*
SUBTOTAL(9,OFFSET(DataP[Total Impressions],ROW(DataP[Total Impressions])-MIN(ROW(DataP[Total Impressions])),0,1)))))
/
SUM(
IF(DataP[Brand Safety 
'[% Failed by Geo']]&lt;&gt;"NULL",
IF(DataP[Partner Type]=ColumnP[[#This Row],[Metric]],
SUBTOTAL(9,OFFSET(DataP[Total Impressions],ROW(DataP[Total Impressions])-MIN(ROW(DataP[Total Impressions])),0,1)))))</f>
        <v>#DIV/0!</v>
      </c>
      <c r="Q11" s="32" t="e">
        <f t="array" aca="1" ref="Q11" ca="1">SUM(
IF(DataP[Brand Safety 
'[% Failed by Keyword']]&lt;&gt;"NULL",
IF(DataP[Partner Type]=ColumnP[[#This Row],[Metric]],
DataP[Brand Safety 
'[% Failed by Keyword']]*
SUBTOTAL(9,OFFSET(DataP[Total Impressions],ROW(DataP[Total Impressions])-MIN(ROW(DataP[Total Impressions])),0,1)))))
/
SUM(
IF(DataP[Brand Safety 
'[% Failed by Keyword']]&lt;&gt;"NULL",
IF(DataP[Partner Type]=ColumnP[[#This Row],[Metric]],
SUBTOTAL(9,OFFSET(DataP[Total Impressions],ROW(DataP[Total Impressions])-MIN(ROW(DataP[Total Impressions])),0,1)))))</f>
        <v>#DIV/0!</v>
      </c>
      <c r="R11" s="32" t="e">
        <f t="array" aca="1" ref="R11" ca="1">SUM(
IF(DataP[Brand Safety 
'[% Failed by Blacklist']]&lt;&gt;"NULL",
IF(DataP[Partner Type]=ColumnP[[#This Row],[Metric]],
DataP[Brand Safety 
'[% Failed by Blacklist']]*
SUBTOTAL(9,OFFSET(DataP[Total Impressions],ROW(DataP[Total Impressions])-MIN(ROW(DataP[Total Impressions])),0,1)))))
/
SUM(
IF(DataP[Brand Safety 
'[% Failed by Blacklist']]&lt;&gt;"NULL",
IF(DataP[Partner Type]=ColumnP[[#This Row],[Metric]],
SUBTOTAL(9,OFFSET(DataP[Total Impressions],ROW(DataP[Total Impressions])-MIN(ROW(DataP[Total Impressions])),0,1)))))</f>
        <v>#DIV/0!</v>
      </c>
      <c r="S11" s="32" t="e">
        <f t="array" aca="1" ref="S11" ca="1">SUM(
IF(DataP[Brand Safety 
'[% Failed by Language']]&lt;&gt;"NULL",
IF(DataP[Partner Type]=ColumnP[[#This Row],[Metric]],
DataP[Brand Safety 
'[% Failed by Language']]*
SUBTOTAL(9,OFFSET(DataP[Total Impressions],ROW(DataP[Total Impressions])-MIN(ROW(DataP[Total Impressions])),0,1)))))
/
SUM(
IF(DataP[Brand Safety 
'[% Failed by Language']]&lt;&gt;"NULL",
IF(DataP[Partner Type]=ColumnP[[#This Row],[Metric]],
SUBTOTAL(9,OFFSET(DataP[Total Impressions],ROW(DataP[Total Impressions])-MIN(ROW(DataP[Total Impressions])),0,1)))))</f>
        <v>#DIV/0!</v>
      </c>
      <c r="T11" s="32" t="e">
        <f t="array" aca="1" ref="T11" ca="1">SUM(
IF(DataP[Fraud 
'[% Fraud']]&lt;&gt;"NULL",
IF(DataP[Partner Type]=ColumnP[[#This Row],[Metric]],
DataP[Fraud 
'[% Fraud']]*
SUBTOTAL(9,OFFSET(DataP[Total Impressions],ROW(DataP[Total Impressions])-MIN(ROW(DataP[Total Impressions])),0,1)))))
/
SUM(
IF(DataP[Fraud 
'[% Fraud']]&lt;&gt;"NULL",
IF(DataP[Partner Type]=ColumnP[[#This Row],[Metric]],
SUBTOTAL(9,OFFSET(DataP[Total Impressions],ROW(DataP[Total Impressions])-MIN(ROW(DataP[Total Impressions])),0,1)))))</f>
        <v>#DIV/0!</v>
      </c>
      <c r="U11" s="32" t="e">
        <f t="array" aca="1" ref="U11" ca="1">SUM(
IF(DataP[Viewability 
'[Total Viewable Rate (Total Net Metrics)']]&lt;&gt;"NULL",
IF(DataP[Partner Type]=ColumnP[[#This Row],[Metric]],
DataP[Viewability 
'[Total Viewable Rate (Total Net Metrics)']]*
SUBTOTAL(9,OFFSET(DataP[Total Impressions],ROW(DataP[Total Impressions])-MIN(ROW(DataP[Total Impressions])),0,1)))))
/
SUM(
IF(DataP[Viewability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V11" s="32" t="e">
        <f t="array" aca="1" ref="V11" ca="1">SUM(
IF(DataP[Display Viewability 
'[Total Viewable Rate (Total Net Metrics)']]&lt;&gt;"NULL",
IF(DataP[Partner Type]=ColumnP[[#This Row],[Metric]],
DataP[Display Viewability 
'[Total Viewable Rate (Total Net Metrics)']]*
SUBTOTAL(9,OFFSET(DataP[Total Impressions],ROW(DataP[Total Impressions])-MIN(ROW(DataP[Total Impressions])),0,1)))))
/
SUM(
IF(DataP[Display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W11" s="32" t="e">
        <f t="array" aca="1" ref="W11" ca="1">SUM(
IF(DataP[Video Viewability 
'[Total Viewable Rate (Total Net Metrics)']]&lt;&gt;"NULL",
IF(DataP[Partner Type]=ColumnP[[#This Row],[Metric]],
DataP[Video Viewability 
'[Total Viewable Rate (Total Net Metrics)']]*
SUBTOTAL(9,OFFSET(DataP[Total Impressions],ROW(DataP[Total Impressions])-MIN(ROW(DataP[Total Impressions])),0,1)))))
/
SUM(
IF(DataP[Video Viewability 
'[Total Viewable Rate (Total Net Metrics)']]&lt;&gt;"NULL",
IF(DataP[Partner Type]=ColumnP[[#This Row],[Metric]],
SUBTOTAL(9,OFFSET(DataP[Total Impressions],ROW(DataP[Total Impressions])-MIN(ROW(DataP[Total Impressions])),0,1)))))</f>
        <v>#DIV/0!</v>
      </c>
      <c r="X11" s="32" t="e">
        <f t="array" aca="1" ref="X11" ca="1">SUM(
IF(DataP[GroupM Viewability 
'[% Display Ads Fully in View']]&lt;&gt;"NULL",
IF(DataP[Partner Type]=ColumnP[[#This Row],[Metric]],
DataP[GroupM Viewability 
'[% Display Ads Fully in View']]*
SUBTOTAL(9,OFFSET(DataP[Total Impressions],ROW(DataP[Total Impressions])-MIN(ROW(DataP[Total Impressions])),0,1)))))
/
SUM(
IF(DataP[GroupM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Y11" s="32" t="e">
        <f t="array" aca="1" ref="Y11" ca="1">SUM(
IF(DataP[GroupM Viewability 
'[% Videos Fully in View']]&lt;&gt;"NULL",
IF(DataP[Partner Type]=ColumnP[[#This Row],[Metric]],
DataP[GroupM Viewability 
'[% Videos Fully in View']]*
SUBTOTAL(9,OFFSET(DataP[Total Impressions],ROW(DataP[Total Impressions])-MIN(ROW(DataP[Total Impressions])),0,1)))))
/
SUM(
IF(DataP[GroupM Viewability 
'[% Videos Fully in View']]&lt;&gt;"NULL",
IF(DataP[Partner Type]=ColumnP[[#This Row],[Metric]],
SUBTOTAL(9,OFFSET(DataP[Total Impressions],ROW(DataP[Total Impressions])-MIN(ROW(DataP[Total Impressions])),0,1)))))</f>
        <v>#DIV/0!</v>
      </c>
      <c r="Z11" s="32" t="e">
        <f t="array" aca="1" ref="Z11" ca="1">SUM(
IF(DataP[Publicis Viewability 
'[% Display Ads Fully in View']]&lt;&gt;"NULL",
IF(DataP[Partner Type]=ColumnP[[#This Row],[Metric]],
DataP[Publicis Viewability 
'[% Display Ads Fully in View']]*
SUBTOTAL(9,OFFSET(DataP[Total Impressions],ROW(DataP[Total Impressions])-MIN(ROW(DataP[Total Impressions])),0,1)))))
/
SUM(
IF(DataP[Publicis Viewability 
'[% Display Ads Fully in View']]&lt;&gt;"NULL",
IF(DataP[Partner Type]=ColumnP[[#This Row],[Metric]],
SUBTOTAL(9,OFFSET(DataP[Total Impressions],ROW(DataP[Total Impressions])-MIN(ROW(DataP[Total Impressions])),0,1)))))</f>
        <v>#DIV/0!</v>
      </c>
      <c r="AA11" s="32" t="e">
        <f t="array" aca="1" ref="AA11" ca="1">SUM(
IF(DataP[Publicis Viewability 
'[% Videos Fully in View']]&lt;&gt;"NULL",
IF(DataP[Partner Type]=ColumnP[[#This Row],[Metric]],
DataP[Publicis Viewability 
'[% Videos Fully in View']]*
SUBTOTAL(9,OFFSET(DataP[Total Impressions],ROW(DataP[Total Impressions])-MIN(ROW(DataP[Total Impressions])),0,1)))))
/
SUM(
IF(DataP[Publicis Viewability 
'[% Videos Fully in View']]&lt;&gt;"NULL",
IF(DataP[Partner Type]=ColumnP[[#This Row],[Metric]],
SUBTOTAL(9,OFFSET(DataP[Total Impressions],ROW(DataP[Total Impressions])-MIN(ROW(DataP[Total Impressions])),0,1)))))</f>
        <v>#DIV/0!</v>
      </c>
      <c r="CX11" s="26"/>
    </row>
    <row r="12" spans="1:121" s="18" customFormat="1" ht="16.5" hidden="1" customHeight="1" x14ac:dyDescent="0.35">
      <c r="A12" s="36"/>
      <c r="B12" s="82"/>
      <c r="C12" s="82"/>
      <c r="D12" s="28"/>
      <c r="E12" s="60"/>
      <c r="F12" s="57"/>
      <c r="G12" s="238" t="s">
        <v>8</v>
      </c>
      <c r="H12" s="238"/>
      <c r="I12" s="27"/>
      <c r="J12" s="103" t="s">
        <v>7</v>
      </c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CQ12" s="75"/>
      <c r="CX12" s="26"/>
    </row>
    <row r="13" spans="1:121" s="18" customFormat="1" ht="15.75" hidden="1" customHeight="1" x14ac:dyDescent="0.35">
      <c r="A13" s="22"/>
      <c r="B13" s="81"/>
      <c r="C13" s="28"/>
      <c r="D13" s="28"/>
      <c r="E13" s="63"/>
      <c r="F13" s="57"/>
      <c r="G13" s="238" t="s">
        <v>8</v>
      </c>
      <c r="H13" s="23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CQ13" s="75"/>
      <c r="CX13" s="26"/>
    </row>
    <row r="14" spans="1:121" s="18" customFormat="1" ht="15.75" customHeight="1" thickBot="1" x14ac:dyDescent="0.4">
      <c r="B14" s="35"/>
      <c r="C14" s="13" t="s">
        <v>21</v>
      </c>
      <c r="D14" s="13" t="s">
        <v>21</v>
      </c>
      <c r="E14" s="22"/>
      <c r="F14" s="13" t="s">
        <v>21</v>
      </c>
      <c r="G14" s="13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40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">
        <v>165</v>
      </c>
      <c r="C16" s="46" t="s">
        <v>166</v>
      </c>
      <c r="D16" s="46" t="s">
        <v>10</v>
      </c>
      <c r="E16" s="46" t="s">
        <v>10</v>
      </c>
      <c r="F16" s="46" t="s">
        <v>10</v>
      </c>
      <c r="G16" s="46" t="s">
        <v>124</v>
      </c>
      <c r="H16" s="46">
        <v>13148469</v>
      </c>
      <c r="I16" s="47">
        <v>19828295</v>
      </c>
      <c r="J16" s="48">
        <v>0.68152249431199996</v>
      </c>
      <c r="K16" s="49">
        <v>0.70397369012300004</v>
      </c>
      <c r="L16" s="49">
        <v>0.95292479761899995</v>
      </c>
      <c r="M16" s="49">
        <v>4.7075202381199999E-2</v>
      </c>
      <c r="N16" s="49">
        <v>1.5841805863800001E-2</v>
      </c>
      <c r="O16" s="49">
        <v>4.7008580414999998E-4</v>
      </c>
      <c r="P16" s="49">
        <v>2.1768992240599999E-2</v>
      </c>
      <c r="Q16" s="49">
        <v>1.7364074924200001E-4</v>
      </c>
      <c r="R16" s="49">
        <v>0</v>
      </c>
      <c r="S16" s="49">
        <v>9.2195017271999996E-3</v>
      </c>
      <c r="T16" s="49">
        <v>0.64080593717800005</v>
      </c>
      <c r="U16" s="49">
        <v>0.63650054192100003</v>
      </c>
      <c r="V16" s="49">
        <v>0.85731169793700002</v>
      </c>
      <c r="W16" s="49">
        <v>0</v>
      </c>
      <c r="X16" s="49">
        <v>0</v>
      </c>
      <c r="Y16" s="49">
        <v>0</v>
      </c>
      <c r="Z16" s="49">
        <v>0</v>
      </c>
      <c r="AA16" s="49">
        <v>0.25</v>
      </c>
    </row>
    <row r="17" spans="2:65" ht="15" customHeight="1" x14ac:dyDescent="0.25">
      <c r="B17" s="207" t="s">
        <v>165</v>
      </c>
      <c r="C17" s="210" t="s">
        <v>166</v>
      </c>
      <c r="D17" s="216" t="s">
        <v>10</v>
      </c>
      <c r="E17" s="210" t="s">
        <v>10</v>
      </c>
      <c r="F17" s="210" t="s">
        <v>10</v>
      </c>
      <c r="G17" s="210" t="s">
        <v>124</v>
      </c>
      <c r="H17" s="210">
        <v>13148469</v>
      </c>
      <c r="I17" s="211">
        <v>19828295</v>
      </c>
      <c r="J17" s="212">
        <v>0.68152249431199996</v>
      </c>
      <c r="K17" s="213">
        <v>0.70397369012300004</v>
      </c>
      <c r="L17" s="213">
        <v>0.95292479761899995</v>
      </c>
      <c r="M17" s="213">
        <v>4.7075202381199999E-2</v>
      </c>
      <c r="N17" s="213">
        <v>1.5841805863800001E-2</v>
      </c>
      <c r="O17" s="213">
        <v>4.7008580414999998E-4</v>
      </c>
      <c r="P17" s="213">
        <v>2.1768992240599999E-2</v>
      </c>
      <c r="Q17" s="213">
        <v>1.7364074924200001E-4</v>
      </c>
      <c r="R17" s="213">
        <v>0</v>
      </c>
      <c r="S17" s="213">
        <v>9.2195017271999996E-3</v>
      </c>
      <c r="T17" s="213">
        <v>0.64080593717800005</v>
      </c>
      <c r="U17" s="213">
        <v>0.63650054192100003</v>
      </c>
      <c r="V17" s="214">
        <v>0.85731169793700002</v>
      </c>
      <c r="W17" s="215">
        <v>0</v>
      </c>
      <c r="X17" s="214">
        <v>0</v>
      </c>
      <c r="Y17" s="213">
        <v>0</v>
      </c>
      <c r="Z17" s="213">
        <v>0</v>
      </c>
      <c r="AA17" s="213"/>
    </row>
    <row r="18" spans="2:65" ht="15" customHeight="1" x14ac:dyDescent="0.25">
      <c r="B18" s="207" t="s">
        <v>165</v>
      </c>
      <c r="C18" s="210" t="s">
        <v>166</v>
      </c>
      <c r="D18" s="216" t="s">
        <v>10</v>
      </c>
      <c r="E18" s="210" t="s">
        <v>10</v>
      </c>
      <c r="F18" s="210" t="s">
        <v>10</v>
      </c>
      <c r="G18" s="210" t="s">
        <v>124</v>
      </c>
      <c r="H18" s="210">
        <v>13148469</v>
      </c>
      <c r="I18" s="211">
        <v>19828295</v>
      </c>
      <c r="J18" s="212">
        <v>0.68152249431199996</v>
      </c>
      <c r="K18" s="213">
        <v>0.70397369012300004</v>
      </c>
      <c r="L18" s="213">
        <v>0.95292479761899995</v>
      </c>
      <c r="M18" s="213">
        <v>4.7075202381199999E-2</v>
      </c>
      <c r="N18" s="213">
        <v>1.5841805863800001E-2</v>
      </c>
      <c r="O18" s="213">
        <v>4.7008580414999998E-4</v>
      </c>
      <c r="P18" s="213">
        <v>2.1768992240599999E-2</v>
      </c>
      <c r="Q18" s="213">
        <v>1.7364074924200001E-4</v>
      </c>
      <c r="R18" s="213">
        <v>0</v>
      </c>
      <c r="S18" s="213">
        <v>9.2195017271999996E-3</v>
      </c>
      <c r="T18" s="213">
        <v>0.64080593717800005</v>
      </c>
      <c r="U18" s="213">
        <v>0.63650054192100003</v>
      </c>
      <c r="V18" s="214">
        <v>0.85731169793700002</v>
      </c>
      <c r="W18" s="215">
        <v>0</v>
      </c>
      <c r="X18" s="214">
        <v>0</v>
      </c>
      <c r="Y18" s="213">
        <v>0</v>
      </c>
      <c r="Z18" s="213">
        <v>0</v>
      </c>
      <c r="AA18" s="213"/>
    </row>
    <row r="19" spans="2:65" ht="15" customHeight="1" x14ac:dyDescent="0.25">
      <c r="B19" s="207" t="s">
        <v>165</v>
      </c>
      <c r="C19" s="210" t="s">
        <v>166</v>
      </c>
      <c r="D19" s="216" t="s">
        <v>10</v>
      </c>
      <c r="E19" s="210" t="s">
        <v>10</v>
      </c>
      <c r="F19" s="210" t="s">
        <v>10</v>
      </c>
      <c r="G19" s="210" t="s">
        <v>124</v>
      </c>
      <c r="H19" s="210">
        <v>13148469</v>
      </c>
      <c r="I19" s="211">
        <v>19828295</v>
      </c>
      <c r="J19" s="212">
        <v>0.68152249431199996</v>
      </c>
      <c r="K19" s="213">
        <v>0.70397369012300004</v>
      </c>
      <c r="L19" s="213">
        <v>0.95292479761899995</v>
      </c>
      <c r="M19" s="213">
        <v>4.7075202381199999E-2</v>
      </c>
      <c r="N19" s="213">
        <v>1.5841805863800001E-2</v>
      </c>
      <c r="O19" s="213">
        <v>4.7008580414999998E-4</v>
      </c>
      <c r="P19" s="213">
        <v>2.1768992240599999E-2</v>
      </c>
      <c r="Q19" s="213">
        <v>1.7364074924200001E-4</v>
      </c>
      <c r="R19" s="213">
        <v>0</v>
      </c>
      <c r="S19" s="213">
        <v>9.2195017271999996E-3</v>
      </c>
      <c r="T19" s="213">
        <v>0.64080593717800005</v>
      </c>
      <c r="U19" s="213">
        <v>0.63650054192100003</v>
      </c>
      <c r="V19" s="214">
        <v>0.85731169793700002</v>
      </c>
      <c r="W19" s="215">
        <v>0</v>
      </c>
      <c r="X19" s="214">
        <v>0</v>
      </c>
      <c r="Y19" s="213">
        <v>0</v>
      </c>
      <c r="Z19" s="213">
        <v>0</v>
      </c>
      <c r="AA19" s="213"/>
    </row>
    <row r="20" spans="2:65" ht="15" customHeight="1" x14ac:dyDescent="0.25">
      <c r="B20" s="207" t="s">
        <v>165</v>
      </c>
      <c r="C20" s="210" t="s">
        <v>166</v>
      </c>
      <c r="D20" s="216" t="s">
        <v>10</v>
      </c>
      <c r="E20" s="210" t="s">
        <v>10</v>
      </c>
      <c r="F20" s="210" t="s">
        <v>10</v>
      </c>
      <c r="G20" s="210" t="s">
        <v>124</v>
      </c>
      <c r="H20" s="210">
        <v>13148469</v>
      </c>
      <c r="I20" s="211">
        <v>19828295</v>
      </c>
      <c r="J20" s="212">
        <v>0.68152249431199996</v>
      </c>
      <c r="K20" s="213">
        <v>0.70397369012300004</v>
      </c>
      <c r="L20" s="213">
        <v>0.95292479761899995</v>
      </c>
      <c r="M20" s="213">
        <v>4.7075202381199999E-2</v>
      </c>
      <c r="N20" s="213">
        <v>1.5841805863800001E-2</v>
      </c>
      <c r="O20" s="213">
        <v>4.7008580414999998E-4</v>
      </c>
      <c r="P20" s="213">
        <v>2.1768992240599999E-2</v>
      </c>
      <c r="Q20" s="213">
        <v>1.7364074924200001E-4</v>
      </c>
      <c r="R20" s="213">
        <v>0</v>
      </c>
      <c r="S20" s="213">
        <v>9.2195017271999996E-3</v>
      </c>
      <c r="T20" s="213">
        <v>0.64080593717800005</v>
      </c>
      <c r="U20" s="213">
        <v>0.63650054192100003</v>
      </c>
      <c r="V20" s="214">
        <v>0.85731169793700002</v>
      </c>
      <c r="W20" s="215">
        <v>0</v>
      </c>
      <c r="X20" s="214">
        <v>0</v>
      </c>
      <c r="Y20" s="213">
        <v>0</v>
      </c>
      <c r="Z20" s="213">
        <v>0</v>
      </c>
      <c r="AA20" s="213"/>
    </row>
    <row r="21" spans="2:65" ht="15" customHeight="1" x14ac:dyDescent="0.25">
      <c r="B21" s="207" t="s">
        <v>165</v>
      </c>
      <c r="C21" s="210" t="s">
        <v>166</v>
      </c>
      <c r="D21" s="216" t="s">
        <v>10</v>
      </c>
      <c r="E21" s="210" t="s">
        <v>10</v>
      </c>
      <c r="F21" s="210" t="s">
        <v>10</v>
      </c>
      <c r="G21" s="210" t="s">
        <v>124</v>
      </c>
      <c r="H21" s="210">
        <v>13148469</v>
      </c>
      <c r="I21" s="211">
        <v>19828295</v>
      </c>
      <c r="J21" s="212">
        <v>0.68152249431199996</v>
      </c>
      <c r="K21" s="213">
        <v>0.70397369012300004</v>
      </c>
      <c r="L21" s="213">
        <v>0.95292479761899995</v>
      </c>
      <c r="M21" s="213">
        <v>4.7075202381199999E-2</v>
      </c>
      <c r="N21" s="213">
        <v>1.5841805863800001E-2</v>
      </c>
      <c r="O21" s="213">
        <v>4.7008580414999998E-4</v>
      </c>
      <c r="P21" s="213">
        <v>2.1768992240599999E-2</v>
      </c>
      <c r="Q21" s="213">
        <v>1.7364074924200001E-4</v>
      </c>
      <c r="R21" s="213">
        <v>0</v>
      </c>
      <c r="S21" s="213">
        <v>9.2195017271999996E-3</v>
      </c>
      <c r="T21" s="213">
        <v>0.64080593717800005</v>
      </c>
      <c r="U21" s="213">
        <v>0.63650054192100003</v>
      </c>
      <c r="V21" s="214">
        <v>0.85731169793700002</v>
      </c>
      <c r="W21" s="215">
        <v>0</v>
      </c>
      <c r="X21" s="214">
        <v>0</v>
      </c>
      <c r="Y21" s="213">
        <v>0</v>
      </c>
      <c r="Z21" s="213">
        <v>0</v>
      </c>
      <c r="AA21" s="213"/>
    </row>
    <row r="22" spans="2:65" ht="15" customHeight="1" x14ac:dyDescent="0.25">
      <c r="B22" s="207" t="s">
        <v>165</v>
      </c>
      <c r="C22" s="210" t="s">
        <v>166</v>
      </c>
      <c r="D22" s="216" t="s">
        <v>10</v>
      </c>
      <c r="E22" s="210" t="s">
        <v>10</v>
      </c>
      <c r="F22" s="210" t="s">
        <v>10</v>
      </c>
      <c r="G22" s="210" t="s">
        <v>124</v>
      </c>
      <c r="H22" s="210">
        <v>13148469</v>
      </c>
      <c r="I22" s="211">
        <v>19828295</v>
      </c>
      <c r="J22" s="212">
        <v>0.68152249431199996</v>
      </c>
      <c r="K22" s="213">
        <v>0.70397369012300004</v>
      </c>
      <c r="L22" s="213">
        <v>0.95292479761899995</v>
      </c>
      <c r="M22" s="213">
        <v>4.7075202381199999E-2</v>
      </c>
      <c r="N22" s="213">
        <v>1.5841805863800001E-2</v>
      </c>
      <c r="O22" s="213">
        <v>4.7008580414999998E-4</v>
      </c>
      <c r="P22" s="213">
        <v>2.1768992240599999E-2</v>
      </c>
      <c r="Q22" s="213">
        <v>1.7364074924200001E-4</v>
      </c>
      <c r="R22" s="213">
        <v>0</v>
      </c>
      <c r="S22" s="213">
        <v>9.2195017271999996E-3</v>
      </c>
      <c r="T22" s="213">
        <v>0.64080593717800005</v>
      </c>
      <c r="U22" s="213">
        <v>0.63650054192100003</v>
      </c>
      <c r="V22" s="214">
        <v>0.85731169793700002</v>
      </c>
      <c r="W22" s="215">
        <v>0</v>
      </c>
      <c r="X22" s="214">
        <v>0</v>
      </c>
      <c r="Y22" s="213">
        <v>0</v>
      </c>
      <c r="Z22" s="213">
        <v>0</v>
      </c>
      <c r="AA22" s="213"/>
      <c r="BM22" s="14" t="e">
        <v>#VALUE!</v>
      </c>
    </row>
    <row r="23" spans="2:65" ht="15" customHeight="1" x14ac:dyDescent="0.25">
      <c r="B23" s="207" t="s">
        <v>165</v>
      </c>
      <c r="C23" s="210" t="s">
        <v>166</v>
      </c>
      <c r="D23" s="216" t="s">
        <v>10</v>
      </c>
      <c r="E23" s="210" t="s">
        <v>10</v>
      </c>
      <c r="F23" s="210" t="s">
        <v>10</v>
      </c>
      <c r="G23" s="210" t="s">
        <v>124</v>
      </c>
      <c r="H23" s="210">
        <v>13148469</v>
      </c>
      <c r="I23" s="211">
        <v>19828295</v>
      </c>
      <c r="J23" s="212">
        <v>0.68152249431199996</v>
      </c>
      <c r="K23" s="213">
        <v>0.70397369012300004</v>
      </c>
      <c r="L23" s="213">
        <v>0.95292479761899995</v>
      </c>
      <c r="M23" s="213">
        <v>4.7075202381199999E-2</v>
      </c>
      <c r="N23" s="213">
        <v>1.5841805863800001E-2</v>
      </c>
      <c r="O23" s="213">
        <v>4.7008580414999998E-4</v>
      </c>
      <c r="P23" s="213">
        <v>2.1768992240599999E-2</v>
      </c>
      <c r="Q23" s="213">
        <v>1.7364074924200001E-4</v>
      </c>
      <c r="R23" s="213">
        <v>0</v>
      </c>
      <c r="S23" s="213">
        <v>9.2195017271999996E-3</v>
      </c>
      <c r="T23" s="213">
        <v>0.64080593717800005</v>
      </c>
      <c r="U23" s="213">
        <v>0.63650054192100003</v>
      </c>
      <c r="V23" s="214">
        <v>0.85731169793700002</v>
      </c>
      <c r="W23" s="215">
        <v>0</v>
      </c>
      <c r="X23" s="214">
        <v>0</v>
      </c>
      <c r="Y23" s="213">
        <v>0</v>
      </c>
      <c r="Z23" s="213">
        <v>0</v>
      </c>
      <c r="AA23" s="213"/>
    </row>
    <row r="24" spans="2:65" ht="15" customHeight="1" x14ac:dyDescent="0.25">
      <c r="B24" s="207" t="s">
        <v>165</v>
      </c>
      <c r="C24" s="210" t="s">
        <v>166</v>
      </c>
      <c r="D24" s="216" t="s">
        <v>10</v>
      </c>
      <c r="E24" s="210" t="s">
        <v>10</v>
      </c>
      <c r="F24" s="210" t="s">
        <v>10</v>
      </c>
      <c r="G24" s="210" t="s">
        <v>124</v>
      </c>
      <c r="H24" s="210">
        <v>13148469</v>
      </c>
      <c r="I24" s="211">
        <v>19828295</v>
      </c>
      <c r="J24" s="212">
        <v>0.68152249431199996</v>
      </c>
      <c r="K24" s="213">
        <v>0.70397369012300004</v>
      </c>
      <c r="L24" s="213">
        <v>0.95292479761899995</v>
      </c>
      <c r="M24" s="213">
        <v>4.7075202381199999E-2</v>
      </c>
      <c r="N24" s="213">
        <v>1.5841805863800001E-2</v>
      </c>
      <c r="O24" s="213">
        <v>4.7008580414999998E-4</v>
      </c>
      <c r="P24" s="213">
        <v>2.1768992240599999E-2</v>
      </c>
      <c r="Q24" s="213">
        <v>1.7364074924200001E-4</v>
      </c>
      <c r="R24" s="213">
        <v>0</v>
      </c>
      <c r="S24" s="213">
        <v>9.2195017271999996E-3</v>
      </c>
      <c r="T24" s="213">
        <v>0.64080593717800005</v>
      </c>
      <c r="U24" s="213">
        <v>0.63650054192100003</v>
      </c>
      <c r="V24" s="214">
        <v>0.85731169793700002</v>
      </c>
      <c r="W24" s="215">
        <v>0</v>
      </c>
      <c r="X24" s="214">
        <v>0</v>
      </c>
      <c r="Y24" s="213">
        <v>0</v>
      </c>
      <c r="Z24" s="213">
        <v>0</v>
      </c>
      <c r="AA24" s="213"/>
    </row>
    <row r="25" spans="2:65" ht="15" customHeight="1" x14ac:dyDescent="0.25">
      <c r="B25" s="207" t="s">
        <v>165</v>
      </c>
      <c r="C25" s="210" t="s">
        <v>166</v>
      </c>
      <c r="D25" s="216" t="s">
        <v>10</v>
      </c>
      <c r="E25" s="210" t="s">
        <v>10</v>
      </c>
      <c r="F25" s="210" t="s">
        <v>10</v>
      </c>
      <c r="G25" s="210" t="s">
        <v>124</v>
      </c>
      <c r="H25" s="210">
        <v>13148469</v>
      </c>
      <c r="I25" s="211">
        <v>19828295</v>
      </c>
      <c r="J25" s="212">
        <v>0.68152249431199996</v>
      </c>
      <c r="K25" s="213">
        <v>0.70397369012300004</v>
      </c>
      <c r="L25" s="213">
        <v>0.95292479761899995</v>
      </c>
      <c r="M25" s="213">
        <v>4.7075202381199999E-2</v>
      </c>
      <c r="N25" s="213">
        <v>1.5841805863800001E-2</v>
      </c>
      <c r="O25" s="213">
        <v>4.7008580414999998E-4</v>
      </c>
      <c r="P25" s="213">
        <v>2.1768992240599999E-2</v>
      </c>
      <c r="Q25" s="213">
        <v>1.7364074924200001E-4</v>
      </c>
      <c r="R25" s="213">
        <v>0</v>
      </c>
      <c r="S25" s="213">
        <v>9.2195017271999996E-3</v>
      </c>
      <c r="T25" s="213">
        <v>0.64080593717800005</v>
      </c>
      <c r="U25" s="213">
        <v>0.63650054192100003</v>
      </c>
      <c r="V25" s="214">
        <v>0.85731169793700002</v>
      </c>
      <c r="W25" s="215">
        <v>0</v>
      </c>
      <c r="X25" s="214">
        <v>0</v>
      </c>
      <c r="Y25" s="213">
        <v>0</v>
      </c>
      <c r="Z25" s="213">
        <v>0</v>
      </c>
      <c r="AA25" s="213"/>
    </row>
    <row r="26" spans="2:65" ht="15" customHeight="1" x14ac:dyDescent="0.25">
      <c r="B26" s="207" t="s">
        <v>165</v>
      </c>
      <c r="C26" s="210" t="s">
        <v>166</v>
      </c>
      <c r="D26" s="216" t="s">
        <v>10</v>
      </c>
      <c r="E26" s="210" t="s">
        <v>10</v>
      </c>
      <c r="F26" s="210" t="s">
        <v>10</v>
      </c>
      <c r="G26" s="210" t="s">
        <v>124</v>
      </c>
      <c r="H26" s="210">
        <v>13148469</v>
      </c>
      <c r="I26" s="211">
        <v>19828295</v>
      </c>
      <c r="J26" s="212">
        <v>0.68152249431199996</v>
      </c>
      <c r="K26" s="213">
        <v>0.70397369012300004</v>
      </c>
      <c r="L26" s="213">
        <v>0.95292479761899995</v>
      </c>
      <c r="M26" s="213">
        <v>4.7075202381199999E-2</v>
      </c>
      <c r="N26" s="213">
        <v>1.5841805863800001E-2</v>
      </c>
      <c r="O26" s="213">
        <v>4.7008580414999998E-4</v>
      </c>
      <c r="P26" s="213">
        <v>2.1768992240599999E-2</v>
      </c>
      <c r="Q26" s="213">
        <v>1.7364074924200001E-4</v>
      </c>
      <c r="R26" s="213">
        <v>0</v>
      </c>
      <c r="S26" s="213">
        <v>9.2195017271999996E-3</v>
      </c>
      <c r="T26" s="213">
        <v>0.64080593717800005</v>
      </c>
      <c r="U26" s="213">
        <v>0.63650054192100003</v>
      </c>
      <c r="V26" s="214">
        <v>0.85731169793700002</v>
      </c>
      <c r="W26" s="215">
        <v>0</v>
      </c>
      <c r="X26" s="214">
        <v>0</v>
      </c>
      <c r="Y26" s="213">
        <v>0</v>
      </c>
      <c r="Z26" s="213">
        <v>0</v>
      </c>
      <c r="AA26" s="213"/>
    </row>
    <row r="27" spans="2:65" ht="15" customHeight="1" x14ac:dyDescent="0.25">
      <c r="B27" s="207" t="s">
        <v>165</v>
      </c>
      <c r="C27" s="210" t="s">
        <v>166</v>
      </c>
      <c r="D27" s="216" t="s">
        <v>10</v>
      </c>
      <c r="E27" s="210" t="s">
        <v>10</v>
      </c>
      <c r="F27" s="210" t="s">
        <v>10</v>
      </c>
      <c r="G27" s="210" t="s">
        <v>124</v>
      </c>
      <c r="H27" s="210">
        <v>13148469</v>
      </c>
      <c r="I27" s="211">
        <v>19828295</v>
      </c>
      <c r="J27" s="212">
        <v>0.68152249431199996</v>
      </c>
      <c r="K27" s="213">
        <v>0.70397369012300004</v>
      </c>
      <c r="L27" s="213">
        <v>0.95292479761899995</v>
      </c>
      <c r="M27" s="213">
        <v>4.7075202381199999E-2</v>
      </c>
      <c r="N27" s="213">
        <v>1.5841805863800001E-2</v>
      </c>
      <c r="O27" s="213">
        <v>4.7008580414999998E-4</v>
      </c>
      <c r="P27" s="213">
        <v>2.1768992240599999E-2</v>
      </c>
      <c r="Q27" s="213">
        <v>1.7364074924200001E-4</v>
      </c>
      <c r="R27" s="213">
        <v>0</v>
      </c>
      <c r="S27" s="213">
        <v>9.2195017271999996E-3</v>
      </c>
      <c r="T27" s="213">
        <v>0.64080593717800005</v>
      </c>
      <c r="U27" s="213">
        <v>0.63650054192100003</v>
      </c>
      <c r="V27" s="214">
        <v>0.85731169793700002</v>
      </c>
      <c r="W27" s="215">
        <v>0</v>
      </c>
      <c r="X27" s="214">
        <v>0</v>
      </c>
      <c r="Y27" s="213">
        <v>0</v>
      </c>
      <c r="Z27" s="213">
        <v>0</v>
      </c>
      <c r="AA27" s="213"/>
    </row>
    <row r="28" spans="2:65" ht="15" customHeight="1" x14ac:dyDescent="0.25">
      <c r="B28" s="207" t="s">
        <v>165</v>
      </c>
      <c r="C28" s="210" t="s">
        <v>166</v>
      </c>
      <c r="D28" s="216" t="s">
        <v>10</v>
      </c>
      <c r="E28" s="210" t="s">
        <v>10</v>
      </c>
      <c r="F28" s="210" t="s">
        <v>10</v>
      </c>
      <c r="G28" s="210" t="s">
        <v>124</v>
      </c>
      <c r="H28" s="210">
        <v>13148469</v>
      </c>
      <c r="I28" s="211">
        <v>19828295</v>
      </c>
      <c r="J28" s="212">
        <v>0.68152249431199996</v>
      </c>
      <c r="K28" s="213">
        <v>0.70397369012300004</v>
      </c>
      <c r="L28" s="213">
        <v>0.95292479761899995</v>
      </c>
      <c r="M28" s="213">
        <v>4.7075202381199999E-2</v>
      </c>
      <c r="N28" s="213">
        <v>1.5841805863800001E-2</v>
      </c>
      <c r="O28" s="213">
        <v>4.7008580414999998E-4</v>
      </c>
      <c r="P28" s="213">
        <v>2.1768992240599999E-2</v>
      </c>
      <c r="Q28" s="213">
        <v>1.7364074924200001E-4</v>
      </c>
      <c r="R28" s="213">
        <v>0</v>
      </c>
      <c r="S28" s="213">
        <v>9.2195017271999996E-3</v>
      </c>
      <c r="T28" s="213">
        <v>0.64080593717800005</v>
      </c>
      <c r="U28" s="213">
        <v>0.63650054192100003</v>
      </c>
      <c r="V28" s="214">
        <v>0.85731169793700002</v>
      </c>
      <c r="W28" s="215">
        <v>0</v>
      </c>
      <c r="X28" s="214">
        <v>0</v>
      </c>
      <c r="Y28" s="213">
        <v>0</v>
      </c>
      <c r="Z28" s="213">
        <v>0</v>
      </c>
      <c r="AA28" s="213"/>
    </row>
    <row r="29" spans="2:65" ht="15" customHeight="1" x14ac:dyDescent="0.25">
      <c r="B29" s="207" t="s">
        <v>165</v>
      </c>
      <c r="C29" s="210" t="s">
        <v>166</v>
      </c>
      <c r="D29" s="216" t="s">
        <v>10</v>
      </c>
      <c r="E29" s="210" t="s">
        <v>10</v>
      </c>
      <c r="F29" s="210" t="s">
        <v>10</v>
      </c>
      <c r="G29" s="210" t="s">
        <v>124</v>
      </c>
      <c r="H29" s="210">
        <v>13148469</v>
      </c>
      <c r="I29" s="211">
        <v>19828295</v>
      </c>
      <c r="J29" s="212">
        <v>0.68152249431199996</v>
      </c>
      <c r="K29" s="213">
        <v>0.70397369012300004</v>
      </c>
      <c r="L29" s="213">
        <v>0.95292479761899995</v>
      </c>
      <c r="M29" s="213">
        <v>4.7075202381199999E-2</v>
      </c>
      <c r="N29" s="213">
        <v>1.5841805863800001E-2</v>
      </c>
      <c r="O29" s="213">
        <v>4.7008580414999998E-4</v>
      </c>
      <c r="P29" s="213">
        <v>2.1768992240599999E-2</v>
      </c>
      <c r="Q29" s="213">
        <v>1.7364074924200001E-4</v>
      </c>
      <c r="R29" s="213">
        <v>0</v>
      </c>
      <c r="S29" s="213">
        <v>9.2195017271999996E-3</v>
      </c>
      <c r="T29" s="213">
        <v>0.64080593717800005</v>
      </c>
      <c r="U29" s="213">
        <v>0.63650054192100003</v>
      </c>
      <c r="V29" s="214">
        <v>0.85731169793700002</v>
      </c>
      <c r="W29" s="215">
        <v>0</v>
      </c>
      <c r="X29" s="214">
        <v>0</v>
      </c>
      <c r="Y29" s="213">
        <v>0</v>
      </c>
      <c r="Z29" s="213">
        <v>0</v>
      </c>
      <c r="AA29" s="213"/>
    </row>
    <row r="30" spans="2:65" ht="15" customHeight="1" x14ac:dyDescent="0.25">
      <c r="B30" s="207" t="s">
        <v>165</v>
      </c>
      <c r="C30" s="210" t="s">
        <v>166</v>
      </c>
      <c r="D30" s="216" t="s">
        <v>10</v>
      </c>
      <c r="E30" s="210" t="s">
        <v>10</v>
      </c>
      <c r="F30" s="210" t="s">
        <v>10</v>
      </c>
      <c r="G30" s="210" t="s">
        <v>124</v>
      </c>
      <c r="H30" s="210">
        <v>13148469</v>
      </c>
      <c r="I30" s="211">
        <v>19828295</v>
      </c>
      <c r="J30" s="212">
        <v>0.68152249431199996</v>
      </c>
      <c r="K30" s="213">
        <v>0.70397369012300004</v>
      </c>
      <c r="L30" s="213">
        <v>0.95292479761899995</v>
      </c>
      <c r="M30" s="213">
        <v>4.7075202381199999E-2</v>
      </c>
      <c r="N30" s="213">
        <v>1.5841805863800001E-2</v>
      </c>
      <c r="O30" s="213">
        <v>4.7008580414999998E-4</v>
      </c>
      <c r="P30" s="213">
        <v>2.1768992240599999E-2</v>
      </c>
      <c r="Q30" s="213">
        <v>1.7364074924200001E-4</v>
      </c>
      <c r="R30" s="213">
        <v>0</v>
      </c>
      <c r="S30" s="213">
        <v>9.2195017271999996E-3</v>
      </c>
      <c r="T30" s="213">
        <v>0.64080593717800005</v>
      </c>
      <c r="U30" s="213">
        <v>0.63650054192100003</v>
      </c>
      <c r="V30" s="214">
        <v>0.85731169793700002</v>
      </c>
      <c r="W30" s="215">
        <v>0</v>
      </c>
      <c r="X30" s="214">
        <v>0</v>
      </c>
      <c r="Y30" s="213">
        <v>0</v>
      </c>
      <c r="Z30" s="213">
        <v>0</v>
      </c>
      <c r="AA30" s="213"/>
    </row>
    <row r="31" spans="2:65" ht="15" customHeight="1" x14ac:dyDescent="0.25">
      <c r="W31" s="76"/>
    </row>
    <row r="32" spans="2:65" ht="15" customHeight="1" x14ac:dyDescent="0.25">
      <c r="W32" s="76"/>
    </row>
    <row r="33" spans="23:23" ht="15" customHeight="1" x14ac:dyDescent="0.25">
      <c r="W33" s="76"/>
    </row>
    <row r="34" spans="23:23" ht="15" customHeight="1" x14ac:dyDescent="0.25">
      <c r="W34" s="76"/>
    </row>
    <row r="35" spans="23:23" ht="15" customHeight="1" x14ac:dyDescent="0.25">
      <c r="W35" s="76"/>
    </row>
  </sheetData>
  <sheetProtection formatCells="0" insertColumns="0" insertRows="0" insertHyperlinks="0" deleteColumns="0" deleteRows="0" selectLockedCells="1" sort="0" autoFilter="0" pivotTables="0"/>
  <mergeCells count="6">
    <mergeCell ref="G13:H13"/>
    <mergeCell ref="B9:E9"/>
    <mergeCell ref="G6:H6"/>
    <mergeCell ref="G7:H7"/>
    <mergeCell ref="G8:H8"/>
    <mergeCell ref="G12:H12"/>
  </mergeCells>
  <conditionalFormatting sqref="K16:AA30">
    <cfRule type="cellIs" dxfId="430" priority="32" operator="equal">
      <formula>""</formula>
    </cfRule>
  </conditionalFormatting>
  <conditionalFormatting sqref="A9:G9 A1:XFD6 I9:XFD9 A10:XFD1048576 A8:XFD8 A7:J7 AB7:XFD7">
    <cfRule type="expression" dxfId="429" priority="31">
      <formula>ISERROR(A1)</formula>
    </cfRule>
  </conditionalFormatting>
  <conditionalFormatting sqref="K16:AA30 K9:AA11">
    <cfRule type="expression" dxfId="428" priority="35">
      <formula>IF(K$7="N/A",0,IF(K$7="Above",K9&lt;=(1-$J$4)*K$8,K9&gt;=(1+$J$4)*K$8))</formula>
    </cfRule>
    <cfRule type="expression" dxfId="427" priority="36">
      <formula>IF(OR(K$7="N/A",K9=0),0,IF(K$7="Above",K9&gt;=(1+$J$3)*K$8,K9&lt;=(1-$J$3)*K$8))</formula>
    </cfRule>
  </conditionalFormatting>
  <conditionalFormatting sqref="H9">
    <cfRule type="expression" dxfId="426" priority="2">
      <formula>ISERROR(H9)</formula>
    </cfRule>
  </conditionalFormatting>
  <conditionalFormatting sqref="K7:AA7">
    <cfRule type="expression" dxfId="425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AB12:XFD13 K10:AA11 J11 G9:G11 J9 A12:D13 H9" xr:uid="{00000000-0002-0000-0200-000000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200-000002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200-000003000000}"/>
    <dataValidation allowBlank="1" showInputMessage="1" showErrorMessage="1" prompt="Cell will highlight red if performance deviates by more than this percentage of the client goal." sqref="J4" xr:uid="{00000000-0002-0000-0200-000004000000}"/>
    <dataValidation type="list" allowBlank="1" showInputMessage="1" showErrorMessage="1" errorTitle="Invalid Entry" error="Please select/enter a value from 1 to 5 from the dropdown." sqref="K13:AA13" xr:uid="{00000000-0002-0000-02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200-000006000000}">
      <formula1>DeviceDropdown</formula1>
    </dataValidation>
    <dataValidation type="list" allowBlank="1" showInputMessage="1" showErrorMessage="1" sqref="B15" xr:uid="{00000000-0002-0000-0200-000007000000}">
      <formula1>"Region (Team), Partner Type"</formula1>
    </dataValidation>
    <dataValidation type="list" allowBlank="1" showInputMessage="1" showErrorMessage="1" sqref="X32" xr:uid="{00000000-0002-0000-0200-000001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" operator="containsText" id="{F74252C3-2457-43AB-9B8C-FA84572E4EB1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16.26953125" style="50" hidden="1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13" t="s">
        <v>21</v>
      </c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16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16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16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16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248" t="s">
        <v>155</v>
      </c>
      <c r="E6" s="248"/>
      <c r="F6" s="28"/>
      <c r="G6" s="230" t="s">
        <v>133</v>
      </c>
      <c r="H6" s="23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28"/>
      <c r="D7" s="28"/>
      <c r="E7" s="63"/>
      <c r="F7" s="28"/>
      <c r="G7" s="239" t="s">
        <v>132</v>
      </c>
      <c r="H7" s="24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A8" s="22"/>
      <c r="B8" s="70"/>
      <c r="C8" s="70"/>
      <c r="D8" s="249" t="str">
        <f ca="1">MID(CELL("filename",A1),FIND("]",CELL("filename",A1))+1,255)&amp;" Level Scorecard"</f>
        <v>Campaign &amp; Partner Level Scorecard</v>
      </c>
      <c r="E8" s="249"/>
      <c r="F8" s="28"/>
      <c r="G8" s="241" t="s">
        <v>132</v>
      </c>
      <c r="H8" s="242"/>
      <c r="I8" s="129"/>
      <c r="J8" s="127" t="s">
        <v>16</v>
      </c>
      <c r="K8" s="128">
        <f>VLOOKUP(K6,Benchmark_Legend[],MATCH(ColumnCP[[#This Row],[Metric]],Benchmark_Legend[#Headers],0),0)</f>
        <v>0.7</v>
      </c>
      <c r="L8" s="128">
        <f>VLOOKUP(L6,Benchmark_Legend[],MATCH(ColumnCP[[#This Row],[Metric]],Benchmark_Legend[#Headers],0),0)</f>
        <v>0.98</v>
      </c>
      <c r="M8" s="128">
        <f>VLOOKUP(M6,Benchmark_Legend[],MATCH(ColumnCP[[#This Row],[Metric]],Benchmark_Legend[#Headers],0),0)</f>
        <v>0.95</v>
      </c>
      <c r="N8" s="128">
        <f>VLOOKUP(N6,Benchmark_Legend[],MATCH(ColumnCP[[#This Row],[Metric]],Benchmark_Legend[#Headers],0),0)</f>
        <v>0.05</v>
      </c>
      <c r="O8" s="128">
        <f>VLOOKUP(O6,Benchmark_Legend[],MATCH(ColumnCP[[#This Row],[Metric]],Benchmark_Legend[#Headers],0),0)</f>
        <v>0.02</v>
      </c>
      <c r="P8" s="128">
        <f>VLOOKUP(P6,Benchmark_Legend[],MATCH(ColumnCP[[#This Row],[Metric]],Benchmark_Legend[#Headers],0),0)</f>
        <v>0.02</v>
      </c>
      <c r="Q8" s="128">
        <f>VLOOKUP(Q6,Benchmark_Legend[],MATCH(ColumnCP[[#This Row],[Metric]],Benchmark_Legend[#Headers],0),0)</f>
        <v>0.01</v>
      </c>
      <c r="R8" s="128">
        <f>VLOOKUP(R6,Benchmark_Legend[],MATCH(ColumnCP[[#This Row],[Metric]],Benchmark_Legend[#Headers],0),0)</f>
        <v>0.01</v>
      </c>
      <c r="S8" s="128">
        <f>VLOOKUP(S6,Benchmark_Legend[],MATCH(ColumnCP[[#This Row],[Metric]],Benchmark_Legend[#Headers],0),0)</f>
        <v>0.01</v>
      </c>
      <c r="T8" s="128">
        <f>VLOOKUP(T6,Benchmark_Legend[],MATCH(ColumnCP[[#This Row],[Metric]],Benchmark_Legend[#Headers],0),0)</f>
        <v>0.03</v>
      </c>
      <c r="U8" s="128">
        <f>VLOOKUP(U6,Benchmark_Legend[],MATCH(ColumnCP[[#This Row],[Metric]],Benchmark_Legend[#Headers],0),0)</f>
        <v>0.55000000000000004</v>
      </c>
      <c r="V8" s="128">
        <f>VLOOKUP(V6,Benchmark_Legend[],MATCH(ColumnCP[[#This Row],[Metric]],Benchmark_Legend[#Headers],0),0)</f>
        <v>0.6</v>
      </c>
      <c r="W8" s="128">
        <f>VLOOKUP(W6,Benchmark_Legend[],MATCH(ColumnCP[[#This Row],[Metric]],Benchmark_Legend[#Headers],0),0)</f>
        <v>0.5</v>
      </c>
      <c r="X8" s="128">
        <f>VLOOKUP(X6,Benchmark_Legend[],MATCH(ColumnCP[[#This Row],[Metric]],Benchmark_Legend[#Headers],0),0)</f>
        <v>0.35</v>
      </c>
      <c r="Y8" s="128">
        <f>VLOOKUP(Y6,Benchmark_Legend[],MATCH(ColumnCP[[#This Row],[Metric]],Benchmark_Legend[#Headers],0),0)</f>
        <v>0.25</v>
      </c>
      <c r="Z8" s="128">
        <f>VLOOKUP(Z6,Benchmark_Legend[],MATCH(ColumnCP[[#This Row],[Metric]],Benchmark_Legend[#Headers],0),0)</f>
        <v>0.35</v>
      </c>
      <c r="AA8" s="128">
        <f>VLOOKUP(AA6,Benchmark_Legend[],MATCH(ColumnCP[[#This Row],[Metric]],Benchmark_Legend[#Headers],0),0)</f>
        <v>0.25</v>
      </c>
      <c r="AB8" s="26"/>
    </row>
    <row r="9" spans="1:121" s="18" customFormat="1" ht="15.75" customHeight="1" thickBot="1" x14ac:dyDescent="0.4">
      <c r="A9" s="22"/>
      <c r="B9" s="243" t="s">
        <v>154</v>
      </c>
      <c r="C9" s="243"/>
      <c r="D9" s="243"/>
      <c r="E9" s="243"/>
      <c r="F9" s="28"/>
      <c r="G9" s="118" t="s">
        <v>14</v>
      </c>
      <c r="H9" s="122" t="s">
        <v>14</v>
      </c>
      <c r="I9" s="110"/>
      <c r="J9" s="111" t="s">
        <v>130</v>
      </c>
      <c r="K9" s="100">
        <f t="array" aca="1" ref="K9" ca="1">SUM(
IF((DataCP[Measured Rate 
'[% Measured']]&lt;&gt;"NULL"),
DataCP[Measured Rate 
'[% Measured']]*
SUBTOTAL(9,OFFSET(DataCP[Total Impressions],ROW(DataCP[Total Impressions])-MIN(ROW(DataCP[Total Impressions])),0,1))))
/
SUM(
IF((DataCP[Measured Rate 
'[% Measured']]&lt;&gt;"NULL"),
SUBTOTAL(9,OFFSET(DataCP[Total Impressions],ROW(DataCP[Total Impressions])-MIN(ROW(DataCP[Total Impressions])),0,1))))</f>
        <v>0.7</v>
      </c>
      <c r="L9" s="100">
        <f t="array" aca="1" ref="L9" ca="1">SUM(
IF((DataCP[See-Through Rate 
'[% Visible']]&lt;&gt;"NULL"),
DataCP[See-Through Rate 
'[% Visible']]*
SUBTOTAL(9,OFFSET(DataCP[Total Impressions],ROW(DataCP[Total Impressions])-MIN(ROW(DataCP[Total Impressions])),0,1))))
/
SUM(
IF((DataCP[See-Through Rate 
'[% Visible']]&lt;&gt;"NULL"),
SUBTOTAL(9,OFFSET(DataCP[Total Impressions],ROW(DataCP[Total Impressions])-MIN(ROW(DataCP[Total Impressions])),0,1))))</f>
        <v>0.98</v>
      </c>
      <c r="M9" s="112">
        <f t="array" aca="1" ref="M9" ca="1">SUM(
IF((DataCP[Brand Safety 
'[% Passed']]&lt;&gt;"NULL"),
DataCP[Brand Safety 
'[% Passed']]*
SUBTOTAL(9,OFFSET(DataCP[Total Impressions],ROW(DataCP[Total Impressions])-MIN(ROW(DataCP[Total Impressions])),0,1))))
/
SUM(
IF((DataCP[Brand Safety 
'[% Passed']]&lt;&gt;"NULL"),
SUBTOTAL(9,OFFSET(DataCP[Total Impressions],ROW(DataCP[Total Impressions])-MIN(ROW(DataCP[Total Impressions])),0,1))))</f>
        <v>0.95</v>
      </c>
      <c r="N9" s="112">
        <f t="array" aca="1" ref="N9" ca="1">SUM(
IF((DataCP[Brand Safety 
'[% Failed']]&lt;&gt;"NULL"),
DataCP[Brand Safety 
'[% Failed']]*
SUBTOTAL(9,OFFSET(DataCP[Total Impressions],ROW(DataCP[Total Impressions])-MIN(ROW(DataCP[Total Impressions])),0,1))))
/
SUM(
IF((DataCP[Brand Safety 
'[% Failed']]&lt;&gt;"NULL"),
SUBTOTAL(9,OFFSET(DataCP[Total Impressions],ROW(DataCP[Total Impressions])-MIN(ROW(DataCP[Total Impressions])),0,1))))</f>
        <v>0.05</v>
      </c>
      <c r="O9" s="112">
        <f t="array" aca="1" ref="O9" ca="1">SUM(
IF((DataCP[Brand Safety 
'[% Failed by Content']]&lt;&gt;"NULL"),
DataCP[Brand Safety 
'[% Failed by Content']]*
SUBTOTAL(9,OFFSET(DataCP[Total Impressions],ROW(DataCP[Total Impressions])-MIN(ROW(DataCP[Total Impressions])),0,1))))
/
SUM(
IF((DataCP[Brand Safety 
'[% Failed by Content']]&lt;&gt;"NULL"),
SUBTOTAL(9,OFFSET(DataCP[Total Impressions],ROW(DataCP[Total Impressions])-MIN(ROW(DataCP[Total Impressions])),0,1))))</f>
        <v>0.02</v>
      </c>
      <c r="P9" s="112">
        <f t="array" aca="1" ref="P9" ca="1">SUM(
IF((DataCP[Brand Safety 
'[% Failed by Geo']]&lt;&gt;"NULL"),
DataCP[Brand Safety 
'[% Failed by Geo']]*
SUBTOTAL(9,OFFSET(DataCP[Total Impressions],ROW(DataCP[Total Impressions])-MIN(ROW(DataCP[Total Impressions])),0,1))))
/
SUM(
IF((DataCP[Brand Safety 
'[% Failed by Geo']]&lt;&gt;"NULL"),
SUBTOTAL(9,OFFSET(DataCP[Total Impressions],ROW(DataCP[Total Impressions])-MIN(ROW(DataCP[Total Impressions])),0,1))))</f>
        <v>0.02</v>
      </c>
      <c r="Q9" s="100">
        <f t="array" aca="1" ref="Q9" ca="1">SUM(
IF((DataCP[Brand Safety 
'[% Failed by Keyword']]&lt;&gt;"NULL"),
DataCP[Brand Safety 
'[% Failed by Keyword']]*
SUBTOTAL(9,OFFSET(DataCP[Total Impressions],ROW(DataCP[Total Impressions])-MIN(ROW(DataCP[Total Impressions])),0,1))))
/
SUM(
IF((DataCP[Brand Safety 
'[% Failed by Keyword']]&lt;&gt;"NULL"),
SUBTOTAL(9,OFFSET(DataCP[Total Impressions],ROW(DataCP[Total Impressions])-MIN(ROW(DataCP[Total Impressions])),0,1))))</f>
        <v>0.01</v>
      </c>
      <c r="R9" s="100">
        <f t="array" aca="1" ref="R9" ca="1">SUM(
IF((DataCP[Brand Safety 
'[% Failed by Blacklist']]&lt;&gt;"NULL"),
DataCP[Brand Safety 
'[% Failed by Blacklist']]*
SUBTOTAL(9,OFFSET(DataCP[Total Impressions],ROW(DataCP[Total Impressions])-MIN(ROW(DataCP[Total Impressions])),0,1))))
/
SUM(
IF((DataCP[Brand Safety 
'[% Failed by Blacklist']]&lt;&gt;"NULL"),
SUBTOTAL(9,OFFSET(DataCP[Total Impressions],ROW(DataCP[Total Impressions])-MIN(ROW(DataCP[Total Impressions])),0,1))))</f>
        <v>0.01</v>
      </c>
      <c r="S9" s="100">
        <f t="array" aca="1" ref="S9" ca="1">SUM(
IF((DataCP[Brand Safety 
'[% Failed by Language']]&lt;&gt;"NULL"),
DataCP[Brand Safety 
'[% Failed by Language']]*
SUBTOTAL(9,OFFSET(DataCP[Total Impressions],ROW(DataCP[Total Impressions])-MIN(ROW(DataCP[Total Impressions])),0,1))))
/
SUM(
IF((DataCP[Brand Safety 
'[% Failed by Language']]&lt;&gt;"NULL"),
SUBTOTAL(9,OFFSET(DataCP[Total Impressions],ROW(DataCP[Total Impressions])-MIN(ROW(DataCP[Total Impressions])),0,1))))</f>
        <v>0.01</v>
      </c>
      <c r="T9" s="100">
        <f t="array" aca="1" ref="T9" ca="1">SUM(
IF((DataCP[Fraud 
'[% Fraud']]&lt;&gt;"NULL"),
DataCP[Fraud 
'[% Fraud']]*
SUBTOTAL(9,OFFSET(DataCP[Total Impressions],ROW(DataCP[Total Impressions])-MIN(ROW(DataCP[Total Impressions])),0,1))))
/
SUM(
IF((DataCP[Fraud 
'[% Fraud']]&lt;&gt;"NULL"),
SUBTOTAL(9,OFFSET(DataCP[Total Impressions],ROW(DataCP[Total Impressions])-MIN(ROW(DataCP[Total Impressions])),0,1))))</f>
        <v>0.03</v>
      </c>
      <c r="U9" s="100">
        <f t="array" aca="1" ref="U9" ca="1">SUM(
IF((DataCP[Viewability 
'[Total Viewable Rate (Total Net Metrics)']]&lt;&gt;"NULL"),
DataCP[Viewability 
'[Total Viewable Rate (Total Net Metrics)']]*SUBTOTAL(9,OFFSET(DataCP[Measured Impressions],ROW(DataCP[Measured Impressions])-MIN(ROW(DataCP[Measured Impressions])),0,1))))
/
SUM(
IF((DataCP[Viewability 
'[Total Viewable Rate (Total Net Metrics)']]&lt;&gt;"NULL"),
SUBTOTAL(9,OFFSET(DataCP[Measured Impressions],ROW(DataCP[Measured Impressions])-MIN(ROW(DataCP[Measured Impressions])),0,1))))</f>
        <v>0.55000000000000004</v>
      </c>
      <c r="V9" s="100">
        <f t="array" aca="1" ref="V9" ca="1">SUM(
IF((DataCP[Display Viewability 
'[Total Viewable Rate (Total Net Metrics)']]&lt;&gt;"NULL"),
DataCP[Display Viewability 
'[Total Viewable Rate (Total Net Metrics)']]*SUBTOTAL(9,OFFSET(DataCP[Measured Impressions],ROW(DataCP[Measured Impressions])-MIN(ROW(DataCP[Measured Impressions])),0,1))))
/
SUM(
IF((DataCP[Display Viewability 
'[Total Viewable Rate (Total Net Metrics)']]&lt;&gt;"NULL"),
SUBTOTAL(9,OFFSET(DataCP[Measured Impressions],ROW(DataCP[Measured Impressions])-MIN(ROW(DataCP[Measured Impressions])),0,1))))</f>
        <v>0.6</v>
      </c>
      <c r="W9" s="112">
        <f t="array" aca="1" ref="W9" ca="1">SUM(
IF((DataCP[Video Viewability 
'[Total Viewable Rate (Total Net Metrics)']]&lt;&gt;"NULL"),
DataCP[Video Viewability 
'[Total Viewable Rate (Total Net Metrics)']]*SUBTOTAL(9,OFFSET(DataCP[Measured Impressions],ROW(DataCP[Measured Impressions])-MIN(ROW(DataCP[Measured Impressions])),0,1))))
/
SUM(
IF((DataCP[Video Viewability 
'[Total Viewable Rate (Total Net Metrics)']]&lt;&gt;"NULL"),
SUBTOTAL(9,OFFSET(DataCP[Measured Impressions],ROW(DataCP[Measured Impressions])-MIN(ROW(DataCP[Measured Impressions])),0,1))))</f>
        <v>0.5</v>
      </c>
      <c r="X9" s="100">
        <f t="array" aca="1" ref="X9" ca="1">SUM(
IF((DataCP[GroupM Viewability 
'[% Display Ads Fully in View']]&lt;&gt;"NULL"),
DataCP[GroupM Viewability 
'[% Display Ads Fully in View']]*SUBTOTAL(9,OFFSET(DataCP[Measured Impressions],ROW(DataCP[Measured Impressions])-MIN(ROW(DataCP[Measured Impressions])),0,1))))
/
SUM(
IF((DataCP[GroupM Viewability 
'[% Display Ads Fully in View']]&lt;&gt;"NULL"),
SUBTOTAL(9,OFFSET(DataCP[Measured Impressions],ROW(DataCP[Measured Impressions])-MIN(ROW(DataCP[Measured Impressions])),0,1))))</f>
        <v>0.35</v>
      </c>
      <c r="Y9" s="112">
        <f t="array" aca="1" ref="Y9" ca="1">SUM(
IF((DataCP[GroupM Viewability 
'[% Videos Fully in View']]&lt;&gt;"NULL"),
DataCP[GroupM Viewability 
'[% Videos Fully in View']]*SUBTOTAL(9,OFFSET(DataCP[Measured Impressions],ROW(DataCP[Measured Impressions])-MIN(ROW(DataCP[Measured Impressions])),0,1))))
/
SUM(
IF((DataCP[GroupM Viewability 
'[% Videos Fully in View']]&lt;&gt;"NULL"),
SUBTOTAL(9,OFFSET(DataCP[Measured Impressions],ROW(DataCP[Measured Impressions])-MIN(ROW(DataCP[Measured Impressions])),0,1))))</f>
        <v>0.25</v>
      </c>
      <c r="Z9" s="100">
        <f t="array" aca="1" ref="Z9" ca="1">SUM(
IF((DataCP[Publicis Viewability 
'[% Display Ads Fully in View']]&lt;&gt;"NULL"),
DataCP[Publicis Viewability 
'[% Display Ads Fully in View']]*SUBTOTAL(9,OFFSET(DataCP[Measured Impressions],ROW(DataCP[Measured Impressions])-MIN(ROW(DataCP[Measured Impressions])),0,1))))
/
SUM(
IF((DataCP[Publicis Viewability 
'[% Display Ads Fully in View']]&lt;&gt;"NULL"),
SUBTOTAL(9,OFFSET(DataCP[Measured Impressions],ROW(DataCP[Measured Impressions])-MIN(ROW(DataCP[Measured Impressions])),0,1))))</f>
        <v>0.35</v>
      </c>
      <c r="AA9" s="100">
        <f t="array" aca="1" ref="AA9" ca="1">SUM(
IF((DataCP[Publicis Viewability 
'[% Videos Fully in View']]&lt;&gt;"NULL"),
DataCP[Publicis Viewability 
'[% Videos Fully in View']]*SUBTOTAL(9,OFFSET(DataCP[Measured Impressions],ROW(DataCP[Measured Impressions])-MIN(ROW(DataCP[Measured Impressions])),0,1))))
/
SUM(
IF((DataCP[Publicis Viewability 
'[% Videos Fully in View']]&lt;&gt;"NULL"),
SUBTOTAL(9,OFFSET(DataCP[Measured Impressions],ROW(DataCP[Measured Impressions])-MIN(ROW(DataCP[Measured Impressions])),0,1))))</f>
        <v>0.25</v>
      </c>
      <c r="AB9" s="26"/>
    </row>
    <row r="10" spans="1:121" s="18" customFormat="1" ht="15" hidden="1" customHeight="1" x14ac:dyDescent="0.35">
      <c r="A10" s="244"/>
      <c r="B10" s="245"/>
      <c r="C10" s="245"/>
      <c r="D10" s="245"/>
      <c r="E10" s="58"/>
      <c r="F10" s="28"/>
      <c r="G10" s="116" t="s">
        <v>14</v>
      </c>
      <c r="H10" s="116"/>
      <c r="I10" s="27"/>
      <c r="J10" s="102" t="s">
        <v>126</v>
      </c>
      <c r="K10" s="31" t="e">
        <f t="array" aca="1" ref="K10" ca="1">SUM(
IF(DataCP[Measured Rate 
'[% Measured']]&lt;&gt;"NULL",
IF(DataCP[Device Type]=ColumnCP[[#This Row],[Metric]],
DataCP[Measured Rate 
'[% Measured']]*
SUBTOTAL(9,OFFSET(DataCP[Total Impressions],ROW(DataCP[Total Impressions])-MIN(ROW(DataCP[Total Impressions])),0,1)))))
/
SUM(
IF(DataCP[Measured Rate 
'[% Measured']]&lt;&gt;"NULL",
IF(DataCP[Device Type]=ColumnCP[[#This Row],[Metric]],
SUBTOTAL(9,OFFSET(DataCP[Total Impressions],ROW(DataCP[Total Impressions])-MIN(ROW(DataCP[Total Impressions])),0,1)))))</f>
        <v>#DIV/0!</v>
      </c>
      <c r="L10" s="32" t="e">
        <f t="array" aca="1" ref="L10" ca="1">SUM(
IF(DataCP[See-Through Rate 
'[% Visible']]&lt;&gt;"NULL",
IF(DataCP[Device Type]=ColumnCP[[#This Row],[Metric]],
DataCP[See-Through Rate 
'[% Visible']]*
SUBTOTAL(9,OFFSET(DataCP[Total Impressions],ROW(DataCP[Total Impressions])-MIN(ROW(DataCP[Total Impressions])),0,1)))))
/
SUM(
IF(DataCP[See-Through Rate 
'[% Visible']]&lt;&gt;"NULL",
IF(DataCP[Device Type]=ColumnCP[[#This Row],[Metric]],
SUBTOTAL(9,OFFSET(DataCP[Total Impressions],ROW(DataCP[Total Impressions])-MIN(ROW(DataCP[Total Impressions])),0,1)))))</f>
        <v>#DIV/0!</v>
      </c>
      <c r="M10" s="32" t="e">
        <f t="array" aca="1" ref="M10" ca="1">SUM(
IF(DataCP[Brand Safety 
'[% Passed']]&lt;&gt;"NULL",
IF(DataCP[Device Type]=ColumnCP[[#This Row],[Metric]],
DataCP[Brand Safety 
'[% Passed']]*
SUBTOTAL(9,OFFSET(DataCP[Total Impressions],ROW(DataCP[Total Impressions])-MIN(ROW(DataCP[Total Impressions])),0,1)))))
/
SUM(
IF(DataCP[Brand Safety 
'[% Passed']]&lt;&gt;"NULL",
IF(DataCP[Device Type]=ColumnCP[[#This Row],[Metric]],
SUBTOTAL(9,OFFSET(DataCP[Total Impressions],ROW(DataCP[Total Impressions])-MIN(ROW(DataCP[Total Impressions])),0,1)))))</f>
        <v>#DIV/0!</v>
      </c>
      <c r="N10" s="32" t="e">
        <f t="array" aca="1" ref="N10" ca="1">SUM(
IF(DataCP[Brand Safety 
'[% Failed']]&lt;&gt;"NULL",
IF(DataCP[Device Type]=ColumnCP[[#This Row],[Metric]],
DataCP[Brand Safety 
'[% Failed']]*
SUBTOTAL(9,OFFSET(DataCP[Total Impressions],ROW(DataCP[Total Impressions])-MIN(ROW(DataCP[Total Impressions])),0,1)))))
/
SUM(
IF(DataCP[Brand Safety 
'[% Failed']]&lt;&gt;"NULL",
IF(DataCP[Device Type]=ColumnCP[[#This Row],[Metric]],
SUBTOTAL(9,OFFSET(DataCP[Total Impressions],ROW(DataCP[Total Impressions])-MIN(ROW(DataCP[Total Impressions])),0,1)))))</f>
        <v>#DIV/0!</v>
      </c>
      <c r="O10" s="32" t="e">
        <f t="array" aca="1" ref="O10" ca="1">SUM(
IF(DataCP[Brand Safety 
'[% Failed by Content']]&lt;&gt;"NULL",
IF(DataCP[Device Type]=ColumnCP[[#This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IF(DataCP[Device Type]=ColumnCP[[#This Row],[Metric]],
SUBTOTAL(9,OFFSET(DataCP[Total Impressions],ROW(DataCP[Total Impressions])-MIN(ROW(DataCP[Total Impressions])),0,1)))))</f>
        <v>#DIV/0!</v>
      </c>
      <c r="P10" s="32" t="e">
        <f t="array" aca="1" ref="P10" ca="1">SUM(
IF(DataCP[Brand Safety 
'[% Failed by Geo']]&lt;&gt;"NULL",
IF(DataCP[Device Type]=ColumnCP[[#This Row],[Metric]],
DataCP[Brand Safety 
'[% Failed by Geo']]*
SUBTOTAL(9,OFFSET(DataCP[Total Impressions],ROW(DataCP[Total Impressions])-MIN(ROW(DataCP[Total Impressions])),0,1)))))
/
SUM(
IF(DataCP[Brand Safety 
'[% Failed by Geo']]&lt;&gt;"NULL",
IF(DataCP[Device Type]=ColumnCP[[#This Row],[Metric]],
SUBTOTAL(9,OFFSET(DataCP[Total Impressions],ROW(DataCP[Total Impressions])-MIN(ROW(DataCP[Total Impressions])),0,1)))))</f>
        <v>#DIV/0!</v>
      </c>
      <c r="Q10" s="32" t="e">
        <f t="array" aca="1" ref="Q10" ca="1">SUM(
IF(DataCP[Brand Safety 
'[% Failed by Keyword']]&lt;&gt;"NULL",
IF(DataCP[Device Type]=ColumnCP[[#This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IF(DataCP[Device Type]=ColumnCP[[#This Row],[Metric]],
SUBTOTAL(9,OFFSET(DataCP[Total Impressions],ROW(DataCP[Total Impressions])-MIN(ROW(DataCP[Total Impressions])),0,1)))))</f>
        <v>#DIV/0!</v>
      </c>
      <c r="R10" s="32" t="e">
        <f t="array" aca="1" ref="R10" ca="1">SUM(
IF(DataCP[Brand Safety 
'[% Failed by Blacklist']]&lt;&gt;"NULL",
IF(DataCP[Device Type]=ColumnCP[[#This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IF(DataCP[Device Type]=ColumnCP[[#This Row],[Metric]],
SUBTOTAL(9,OFFSET(DataCP[Total Impressions],ROW(DataCP[Total Impressions])-MIN(ROW(DataCP[Total Impressions])),0,1)))))</f>
        <v>#DIV/0!</v>
      </c>
      <c r="S10" s="32" t="e">
        <f t="array" aca="1" ref="S10" ca="1">SUM(
IF(DataCP[Brand Safety 
'[% Failed by Language']]&lt;&gt;"NULL",
IF(DataCP[Device Type]=ColumnCP[[#This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IF(DataCP[Device Type]=ColumnCP[[#This Row],[Metric]],
SUBTOTAL(9,OFFSET(DataCP[Total Impressions],ROW(DataCP[Total Impressions])-MIN(ROW(DataCP[Total Impressions])),0,1)))))</f>
        <v>#DIV/0!</v>
      </c>
      <c r="T10" s="32" t="e">
        <f t="array" aca="1" ref="T10" ca="1">SUM(
IF(DataCP[Fraud 
'[% Fraud']]&lt;&gt;"NULL",
IF(DataCP[Device Type]=ColumnCP[[#This Row],[Metric]],
DataCP[Fraud 
'[% Fraud']]*
SUBTOTAL(9,OFFSET(DataCP[Total Impressions],ROW(DataCP[Total Impressions])-MIN(ROW(DataCP[Total Impressions])),0,1)))))
/
SUM(
IF(DataCP[Fraud 
'[% Fraud']]&lt;&gt;"NULL",
IF(DataCP[Device Type]=ColumnCP[[#This Row],[Metric]],
SUBTOTAL(9,OFFSET(DataCP[Total Impressions],ROW(DataCP[Total Impressions])-MIN(ROW(DataCP[Total Impressions])),0,1)))))</f>
        <v>#DIV/0!</v>
      </c>
      <c r="U10" s="32" t="e">
        <f t="array" aca="1" ref="U10" ca="1">SUM(
IF(DataCP[Viewability 
'[Total Viewable Rate (Total Net Metrics)']]&lt;&gt;"NULL",
IF(DataCP[Device Type]=ColumnCP[[#This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V10" s="32" t="e">
        <f t="array" aca="1" ref="V10" ca="1">SUM(
IF(DataCP[Display Viewability 
'[Total Viewable Rate (Total Net Metrics)']]&lt;&gt;"NULL",
IF(DataCP[Device Type]=ColumnCP[[#This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W10" s="32" t="e">
        <f t="array" aca="1" ref="W10" ca="1">SUM(
IF(DataCP[Video Viewability 
'[Total Viewable Rate (Total Net Metrics)']]&lt;&gt;"NULL",
IF(DataCP[Device Type]=ColumnCP[[#This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IF(DataCP[Device Type]=ColumnCP[[#This Row],[Metric]],
SUBTOTAL(9,OFFSET(DataCP[Total Impressions],ROW(DataCP[Total Impressions])-MIN(ROW(DataCP[Total Impressions])),0,1)))))</f>
        <v>#DIV/0!</v>
      </c>
      <c r="X10" s="32" t="e">
        <f t="array" aca="1" ref="X10" ca="1">SUM(
IF(DataCP[GroupM Viewability 
'[% Display Ads Fully in View']]&lt;&gt;"NULL",
IF(DataCP[Device Type]=ColumnCP[[#This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Y10" s="32" t="e">
        <f t="array" aca="1" ref="Y10" ca="1">SUM(
IF(DataCP[GroupM Viewability 
'[% Videos Fully in View']]&lt;&gt;"NULL",
IF(DataCP[Device Type]=ColumnCP[[#This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Z10" s="32" t="e">
        <f t="array" aca="1" ref="Z10" ca="1">SUM(
IF(DataCP[Publicis Viewability 
'[% Display Ads Fully in View']]&lt;&gt;"NULL",
IF(DataCP[Device Type]=ColumnCP[[#This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IF(DataCP[Device Type]=ColumnCP[[#This Row],[Metric]],
SUBTOTAL(9,OFFSET(DataCP[Total Impressions],ROW(DataCP[Total Impressions])-MIN(ROW(DataCP[Total Impressions])),0,1)))))</f>
        <v>#DIV/0!</v>
      </c>
      <c r="AA10" s="32" t="e">
        <f t="array" aca="1" ref="AA10" ca="1">SUM(
IF(DataCP[Publicis Viewability 
'[% Videos Fully in View']]&lt;&gt;"NULL",
IF(DataCP[Device Type]=ColumnCP[[#This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IF(DataCP[Device Type]=ColumnCP[[#This Row],[Metric]],
SUBTOTAL(9,OFFSET(DataCP[Total Impressions],ROW(DataCP[Total Impressions])-MIN(ROW(DataCP[Total Impressions])),0,1)))))</f>
        <v>#DIV/0!</v>
      </c>
      <c r="AB10" s="26"/>
    </row>
    <row r="11" spans="1:121" s="18" customFormat="1" ht="15" hidden="1" customHeight="1" x14ac:dyDescent="0.35">
      <c r="A11" s="246"/>
      <c r="B11" s="247"/>
      <c r="C11" s="247"/>
      <c r="D11" s="247"/>
      <c r="E11" s="58"/>
      <c r="F11" s="28"/>
      <c r="G11" s="116" t="s">
        <v>14</v>
      </c>
      <c r="H11" s="116"/>
      <c r="I11" s="27"/>
      <c r="J11" s="102" t="s">
        <v>140</v>
      </c>
      <c r="K11" s="31" t="e">
        <f t="array" aca="1" ref="K11" ca="1">SUM(
IF(DataCP[Measured Rate 
'[% Measured']]&lt;&gt;"NULL",
IF(DataCP[Brand]=ColumnCP[[#This Row],[Metric]],
DataCP[Measured Rate 
'[% Measured']]*
SUBTOTAL(9,OFFSET(DataCP[Total Impressions],ROW(DataCP[Total Impressions])-MIN(ROW(DataCP[Total Impressions])),0,1)))))
/
SUM(
IF(DataCP[Measured Rate 
'[% Measured']]&lt;&gt;"NULL",
IF(DataCP[Brand]=ColumnCP[[#This Row],[Metric]],
SUBTOTAL(9,OFFSET(DataCP[Total Impressions],ROW(DataCP[Total Impressions])-MIN(ROW(DataCP[Total Impressions])),0,1)))))</f>
        <v>#DIV/0!</v>
      </c>
      <c r="L11" s="32" t="e">
        <f t="array" aca="1" ref="L11" ca="1">SUM(
IF(DataCP[See-Through Rate 
'[% Visible']]&lt;&gt;"NULL",
IF(DataCP[Brand]=ColumnCP[[#This Row],[Metric]],
DataCP[See-Through Rate 
'[% Visible']]*
SUBTOTAL(9,OFFSET(DataCP[Total Impressions],ROW(DataCP[Total Impressions])-MIN(ROW(DataCP[Total Impressions])),0,1)))))
/
SUM(
IF(DataCP[See-Through Rate 
'[% Visible']]&lt;&gt;"NULL",
IF(DataCP[Brand]=ColumnCP[[#This Row],[Metric]],
SUBTOTAL(9,OFFSET(DataCP[Total Impressions],ROW(DataCP[Total Impressions])-MIN(ROW(DataCP[Total Impressions])),0,1)))))</f>
        <v>#DIV/0!</v>
      </c>
      <c r="M11" s="32" t="e">
        <f t="array" aca="1" ref="M11" ca="1">SUM(
IF(DataCP[Brand Safety 
'[% Passed']]&lt;&gt;"NULL",
IF(DataCP[Brand]=ColumnCP[[#This Row],[Metric]],
DataCP[Brand Safety 
'[% Passed']]*
SUBTOTAL(9,OFFSET(DataCP[Total Impressions],ROW(DataCP[Total Impressions])-MIN(ROW(DataCP[Total Impressions])),0,1)))))
/
SUM(
IF(DataCP[Brand Safety 
'[% Passed']]&lt;&gt;"NULL",
IF(DataCP[Brand]=ColumnCP[[#This Row],[Metric]],
SUBTOTAL(9,OFFSET(DataCP[Total Impressions],ROW(DataCP[Total Impressions])-MIN(ROW(DataCP[Total Impressions])),0,1)))))</f>
        <v>#DIV/0!</v>
      </c>
      <c r="N11" s="32" t="e">
        <f t="array" aca="1" ref="N11" ca="1">SUM(
IF(DataCP[Brand Safety 
'[% Failed']]&lt;&gt;"NULL",
IF(DataCP[Brand]=ColumnCP[[#This Row],[Metric]],
DataCP[Brand Safety 
'[% Failed']]*
SUBTOTAL(9,OFFSET(DataCP[Total Impressions],ROW(DataCP[Total Impressions])-MIN(ROW(DataCP[Total Impressions])),0,1)))))
/
SUM(
IF(DataCP[Brand Safety 
'[% Failed']]&lt;&gt;"NULL",
IF(DataCP[Brand]=ColumnCP[[#This Row],[Metric]],
SUBTOTAL(9,OFFSET(DataCP[Total Impressions],ROW(DataCP[Total Impressions])-MIN(ROW(DataCP[Total Impressions])),0,1)))))</f>
        <v>#DIV/0!</v>
      </c>
      <c r="O11" s="32" t="e">
        <f t="array" aca="1" ref="O11" ca="1">SUM(
IF(DataCP[Brand Safety 
'[% Failed by Content']]&lt;&gt;"NULL",
IF(DataCP[Brand]=ColumnCP[[#This Row],[Metric]],
DataCP[Brand Safety 
'[% Failed by Content']]*
SUBTOTAL(9,OFFSET(DataCP[Total Impressions],ROW(DataCP[Total Impressions])-MIN(ROW(DataCP[Total Impressions])),0,1)))))
/
SUM(
IF(DataCP[Brand Safety 
'[% Failed by Content']]&lt;&gt;"NULL",
IF(DataCP[Brand]=ColumnCP[[#This Row],[Metric]],
SUBTOTAL(9,OFFSET(DataCP[Total Impressions],ROW(DataCP[Total Impressions])-MIN(ROW(DataCP[Total Impressions])),0,1)))))</f>
        <v>#DIV/0!</v>
      </c>
      <c r="P11" s="32" t="e">
        <f t="array" aca="1" ref="P11" ca="1">SUM(
IF(DataCP[Brand Safety 
'[% Failed by Geo']]&lt;&gt;"NULL",
IF(DataCP[Brand]=ColumnCP[[#This Row],[Metric]],
DataCP[Brand Safety 
'[% Failed by Geo']]*
SUBTOTAL(9,OFFSET(DataCP[Total Impressions],ROW(DataCP[Total Impressions])-MIN(ROW(DataCP[Total Impressions])),0,1)))))
/
SUM(
IF(DataCP[Brand Safety 
'[% Failed by Geo']]&lt;&gt;"NULL",
IF(DataCP[Brand]=ColumnCP[[#This Row],[Metric]],
SUBTOTAL(9,OFFSET(DataCP[Total Impressions],ROW(DataCP[Total Impressions])-MIN(ROW(DataCP[Total Impressions])),0,1)))))</f>
        <v>#DIV/0!</v>
      </c>
      <c r="Q11" s="32" t="e">
        <f t="array" aca="1" ref="Q11" ca="1">SUM(
IF(DataCP[Brand Safety 
'[% Failed by Keyword']]&lt;&gt;"NULL",
IF(DataCP[Brand]=ColumnCP[[#This Row],[Metric]],
DataCP[Brand Safety 
'[% Failed by Keyword']]*
SUBTOTAL(9,OFFSET(DataCP[Total Impressions],ROW(DataCP[Total Impressions])-MIN(ROW(DataCP[Total Impressions])),0,1)))))
/
SUM(
IF(DataCP[Brand Safety 
'[% Failed by Keyword']]&lt;&gt;"NULL",
IF(DataCP[Brand]=ColumnCP[[#This Row],[Metric]],
SUBTOTAL(9,OFFSET(DataCP[Total Impressions],ROW(DataCP[Total Impressions])-MIN(ROW(DataCP[Total Impressions])),0,1)))))</f>
        <v>#DIV/0!</v>
      </c>
      <c r="R11" s="32" t="e">
        <f t="array" aca="1" ref="R11" ca="1">SUM(
IF(DataCP[Brand Safety 
'[% Failed by Blacklist']]&lt;&gt;"NULL",
IF(DataCP[Brand]=ColumnCP[[#This Row],[Metric]],
DataCP[Brand Safety 
'[% Failed by Blacklist']]*
SUBTOTAL(9,OFFSET(DataCP[Total Impressions],ROW(DataCP[Total Impressions])-MIN(ROW(DataCP[Total Impressions])),0,1)))))
/
SUM(
IF(DataCP[Brand Safety 
'[% Failed by Blacklist']]&lt;&gt;"NULL",
IF(DataCP[Brand]=ColumnCP[[#This Row],[Metric]],
SUBTOTAL(9,OFFSET(DataCP[Total Impressions],ROW(DataCP[Total Impressions])-MIN(ROW(DataCP[Total Impressions])),0,1)))))</f>
        <v>#DIV/0!</v>
      </c>
      <c r="S11" s="32" t="e">
        <f t="array" aca="1" ref="S11" ca="1">SUM(
IF(DataCP[Brand Safety 
'[% Failed by Language']]&lt;&gt;"NULL",
IF(DataCP[Brand]=ColumnCP[[#This Row],[Metric]],
DataCP[Brand Safety 
'[% Failed by Language']]*
SUBTOTAL(9,OFFSET(DataCP[Total Impressions],ROW(DataCP[Total Impressions])-MIN(ROW(DataCP[Total Impressions])),0,1)))))
/
SUM(
IF(DataCP[Brand Safety 
'[% Failed by Language']]&lt;&gt;"NULL",
IF(DataCP[Brand]=ColumnCP[[#This Row],[Metric]],
SUBTOTAL(9,OFFSET(DataCP[Total Impressions],ROW(DataCP[Total Impressions])-MIN(ROW(DataCP[Total Impressions])),0,1)))))</f>
        <v>#DIV/0!</v>
      </c>
      <c r="T11" s="32" t="e">
        <f t="array" aca="1" ref="T11" ca="1">SUM(
IF(DataCP[Fraud 
'[% Fraud']]&lt;&gt;"NULL",
IF(DataCP[Brand]=ColumnCP[[#This Row],[Metric]],
DataCP[Fraud 
'[% Fraud']]*
SUBTOTAL(9,OFFSET(DataCP[Total Impressions],ROW(DataCP[Total Impressions])-MIN(ROW(DataCP[Total Impressions])),0,1)))))
/
SUM(
IF(DataCP[Fraud 
'[% Fraud']]&lt;&gt;"NULL",
IF(DataCP[Brand]=ColumnCP[[#This Row],[Metric]],
SUBTOTAL(9,OFFSET(DataCP[Total Impressions],ROW(DataCP[Total Impressions])-MIN(ROW(DataCP[Total Impressions])),0,1)))))</f>
        <v>#DIV/0!</v>
      </c>
      <c r="U11" s="32" t="e">
        <f t="array" aca="1" ref="U11" ca="1">SUM(
IF(DataCP[Viewability 
'[Total Viewable Rate (Total Net Metrics)']]&lt;&gt;"NULL",
IF(DataCP[Brand]=ColumnCP[[#This Row],[Metric]],
DataCP[Viewability 
'[Total Viewable Rate (Total Net Metrics)']]*
SUBTOTAL(9,OFFSET(DataCP[Total Impressions],ROW(DataCP[Total Impressions])-MIN(ROW(DataCP[Total Impressions])),0,1)))))
/
SUM(
IF(DataCP[Viewability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V11" s="32" t="e">
        <f t="array" aca="1" ref="V11" ca="1">SUM(
IF(DataCP[Display Viewability 
'[Total Viewable Rate (Total Net Metrics)']]&lt;&gt;"NULL",
IF(DataCP[Brand]=ColumnCP[[#This Row],[Metric]],
DataCP[Display Viewability 
'[Total Viewable Rate (Total Net Metrics)']]*
SUBTOTAL(9,OFFSET(DataCP[Total Impressions],ROW(DataCP[Total Impressions])-MIN(ROW(DataCP[Total Impressions])),0,1)))))
/
SUM(
IF(DataCP[Display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W11" s="32" t="e">
        <f t="array" aca="1" ref="W11" ca="1">SUM(
IF(DataCP[Video Viewability 
'[Total Viewable Rate (Total Net Metrics)']]&lt;&gt;"NULL",
IF(DataCP[Brand]=ColumnCP[[#This Row],[Metric]],
DataCP[Video Viewability 
'[Total Viewable Rate (Total Net Metrics)']]*
SUBTOTAL(9,OFFSET(DataCP[Total Impressions],ROW(DataCP[Total Impressions])-MIN(ROW(DataCP[Total Impressions])),0,1)))))
/
SUM(
IF(DataCP[Video Viewability 
'[Total Viewable Rate (Total Net Metrics)']]&lt;&gt;"NULL",
IF(DataCP[Brand]=ColumnCP[[#This Row],[Metric]],
SUBTOTAL(9,OFFSET(DataCP[Total Impressions],ROW(DataCP[Total Impressions])-MIN(ROW(DataCP[Total Impressions])),0,1)))))</f>
        <v>#DIV/0!</v>
      </c>
      <c r="X11" s="32" t="e">
        <f t="array" aca="1" ref="X11" ca="1">SUM(
IF(DataCP[GroupM Viewability 
'[% Display Ads Fully in View']]&lt;&gt;"NULL",
IF(DataCP[Brand]=ColumnCP[[#This Row],[Metric]],
DataCP[GroupM Viewability 
'[% Display Ads Fully in View']]*
SUBTOTAL(9,OFFSET(DataCP[Total Impressions],ROW(DataCP[Total Impressions])-MIN(ROW(DataCP[Total Impressions])),0,1)))))
/
SUM(
IF(DataCP[GroupM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Y11" s="32" t="e">
        <f t="array" aca="1" ref="Y11" ca="1">SUM(
IF(DataCP[GroupM Viewability 
'[% Videos Fully in View']]&lt;&gt;"NULL",
IF(DataCP[Brand]=ColumnCP[[#This Row],[Metric]],
DataCP[GroupM Viewability 
'[% Videos Fully in View']]*
SUBTOTAL(9,OFFSET(DataCP[Total Impressions],ROW(DataCP[Total Impressions])-MIN(ROW(DataCP[Total Impressions])),0,1)))))
/
SUM(
IF(DataCP[GroupM Viewability 
'[% Videos Fully in View']]&lt;&gt;"NULL",
IF(DataCP[Brand]=ColumnCP[[#This Row],[Metric]],
SUBTOTAL(9,OFFSET(DataCP[Total Impressions],ROW(DataCP[Total Impressions])-MIN(ROW(DataCP[Total Impressions])),0,1)))))</f>
        <v>#DIV/0!</v>
      </c>
      <c r="Z11" s="32" t="e">
        <f t="array" aca="1" ref="Z11" ca="1">SUM(
IF(DataCP[Publicis Viewability 
'[% Display Ads Fully in View']]&lt;&gt;"NULL",
IF(DataCP[Brand]=ColumnCP[[#This Row],[Metric]],
DataCP[Publicis Viewability 
'[% Display Ads Fully in View']]*
SUBTOTAL(9,OFFSET(DataCP[Total Impressions],ROW(DataCP[Total Impressions])-MIN(ROW(DataCP[Total Impressions])),0,1)))))
/
SUM(
IF(DataCP[Publicis Viewability 
'[% Display Ads Fully in View']]&lt;&gt;"NULL",
IF(DataCP[Brand]=ColumnCP[[#This Row],[Metric]],
SUBTOTAL(9,OFFSET(DataCP[Total Impressions],ROW(DataCP[Total Impressions])-MIN(ROW(DataCP[Total Impressions])),0,1)))))</f>
        <v>#DIV/0!</v>
      </c>
      <c r="AA11" s="32" t="e">
        <f t="array" aca="1" ref="AA11" ca="1">SUM(
IF(DataCP[Publicis Viewability 
'[% Videos Fully in View']]&lt;&gt;"NULL",
IF(DataCP[Brand]=ColumnCP[[#This Row],[Metric]],
DataCP[Publicis Viewability 
'[% Videos Fully in View']]*
SUBTOTAL(9,OFFSET(DataCP[Total Impressions],ROW(DataCP[Total Impressions])-MIN(ROW(DataCP[Total Impressions])),0,1)))))
/
SUM(
IF(DataCP[Publicis Viewability 
'[% Videos Fully in View']]&lt;&gt;"NULL",
IF(DataCP[Brand]=ColumnCP[[#This Row],[Metric]],
SUBTOTAL(9,OFFSET(DataCP[Total Impressions],ROW(DataCP[Total Impressions])-MIN(ROW(DataCP[Total Impressions])),0,1)))))</f>
        <v>#DIV/0!</v>
      </c>
      <c r="AB11" s="26"/>
    </row>
    <row r="12" spans="1:121" s="18" customFormat="1" ht="15" hidden="1" customHeight="1" x14ac:dyDescent="0.35">
      <c r="A12" s="244"/>
      <c r="B12" s="245"/>
      <c r="C12" s="245"/>
      <c r="D12" s="245"/>
      <c r="E12" s="58"/>
      <c r="F12" s="28"/>
      <c r="G12" s="238" t="s">
        <v>8</v>
      </c>
      <c r="H12" s="238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A13" s="22"/>
      <c r="B13" s="33"/>
      <c r="C13" s="33"/>
      <c r="D13" s="33"/>
      <c r="E13" s="58"/>
      <c r="F13" s="28"/>
      <c r="G13" s="238" t="s">
        <v>8</v>
      </c>
      <c r="H13" s="238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16"/>
      <c r="G14" s="13" t="s">
        <v>21</v>
      </c>
      <c r="H14" s="73"/>
      <c r="I14" s="73"/>
      <c r="J14" s="73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(Team)]]="Brand",VLOOKUP(DataCP[[#This Row],[Campaign]],Map_Campaign[],2,0),
IF(DataT[[#Headers],[Region (Team)]]="Region (Team)",VLOOKUP(DataCP[[#This Row],[Team]],Map_Team[],2,0),
IF(DataT[[#Headers],[Region (Team)]]="Region (Campaign)",VLOOKUP(DataCP[[#This Row],[Campaign]],Map_Campaign[],3,0),
IF(DataT[[#Headers],[Region (Team)]]="Partner Type",VLOOKUP(DataCP[[#This Row],[Partner]],Map_Partner[],2,0),
IF(DataT[[#Headers],[Region (Team)]]="Device Type",VLOOKUP(DataCP[[#This Row],[Placement]],Map_Placement[],3,0),
IF(DataT[[#Headers],[Region (Team)]]="Creative Size",VLOOKUP(DataCP[[#This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142</v>
      </c>
      <c r="F16" s="46" t="s">
        <v>10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D6:E6"/>
    <mergeCell ref="D8:E8"/>
    <mergeCell ref="A12:D12"/>
    <mergeCell ref="G12:H12"/>
    <mergeCell ref="G13:H13"/>
    <mergeCell ref="B9:E9"/>
    <mergeCell ref="A10:D10"/>
    <mergeCell ref="A11:D11"/>
  </mergeCells>
  <conditionalFormatting sqref="K16:AA16">
    <cfRule type="cellIs" dxfId="370" priority="9" operator="equal">
      <formula>""</formula>
    </cfRule>
  </conditionalFormatting>
  <conditionalFormatting sqref="A6:D8 A1:XFD5 A9:G9 F6:XFD6 E7:J7 F8:XFD8 I9:XFD9 A10:XFD1048576 AB7:XFD7">
    <cfRule type="expression" dxfId="369" priority="8">
      <formula>ISERROR(A1)</formula>
    </cfRule>
  </conditionalFormatting>
  <conditionalFormatting sqref="K16:AA16 K9:AA11">
    <cfRule type="expression" dxfId="368" priority="11">
      <formula>IF(K$7="N/A",0,IF(K$7="Above",K9&lt;=(1-$J$4)*K$8,K9&gt;=(1+$J$4)*K$8))</formula>
    </cfRule>
    <cfRule type="expression" dxfId="367" priority="12">
      <formula>IF(OR(K$7="N/A",K9=0),0,IF(K$7="Above",K9&gt;=(1+$J$3)*K$8,K9&lt;=(1-$J$3)*K$8))</formula>
    </cfRule>
  </conditionalFormatting>
  <conditionalFormatting sqref="H9">
    <cfRule type="expression" dxfId="366" priority="2">
      <formula>ISERROR(H9)</formula>
    </cfRule>
  </conditionalFormatting>
  <conditionalFormatting sqref="K7:AA7">
    <cfRule type="expression" dxfId="36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AB12:XFD13 K10:AA11 J11 G9:G11 J9 A13:D13 H9" xr:uid="{00000000-0002-0000-0300-000000000000}"/>
    <dataValidation type="list" allowBlank="1" showInputMessage="1" showErrorMessage="1" errorTitle="Invalid Entry" error="Please select/enter a value from 1 to 5 from the dropdown." sqref="J10" xr:uid="{00000000-0002-0000-03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3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3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300-000005000000}"/>
    <dataValidation allowBlank="1" showInputMessage="1" showErrorMessage="1" prompt="Cell will highlight red if performance deviates by more than this percentage of the client goal." sqref="J4" xr:uid="{00000000-0002-0000-0300-000006000000}"/>
    <dataValidation type="list" allowBlank="1" showInputMessage="1" showErrorMessage="1" sqref="B15" xr:uid="{00000000-0002-0000-0300-000007000000}">
      <formula1>"Brand, Region (Team), Region (Campaign), Partner Type"</formula1>
    </dataValidation>
    <dataValidation type="list" allowBlank="1" showInputMessage="1" showErrorMessage="1" sqref="X27" xr:uid="{00000000-0002-0000-03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FE530159-CB77-495A-99FE-9DA174ECD11C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60.54296875" style="50" hidden="1" customWidth="1"/>
    <col min="5" max="6" width="30.453125" style="50" customWidth="1"/>
    <col min="7" max="7" width="18.54296875" style="50" hidden="1" customWidth="1"/>
    <col min="8" max="8" width="21.7265625" style="50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3" t="s">
        <v>21</v>
      </c>
      <c r="E1" s="52"/>
      <c r="F1" s="52"/>
      <c r="G1" s="13" t="s">
        <v>21</v>
      </c>
      <c r="H1" s="11"/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6"/>
      <c r="E2" s="52"/>
      <c r="F2" s="52"/>
      <c r="G2" s="16"/>
      <c r="H2" s="11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6"/>
      <c r="E3" s="52"/>
      <c r="F3" s="52"/>
      <c r="G3" s="16"/>
      <c r="H3" s="11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6"/>
      <c r="E4" s="52"/>
      <c r="F4" s="52"/>
      <c r="G4" s="16"/>
      <c r="H4" s="11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6"/>
      <c r="E5" s="52"/>
      <c r="F5" s="52"/>
      <c r="G5" s="16"/>
      <c r="H5" s="11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248" t="s">
        <v>155</v>
      </c>
      <c r="F6" s="248"/>
      <c r="G6" s="230" t="s">
        <v>133</v>
      </c>
      <c r="H6" s="231"/>
      <c r="I6" s="90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8"/>
      <c r="C7" s="28"/>
      <c r="D7" s="28"/>
      <c r="E7" s="28"/>
      <c r="F7" s="60"/>
      <c r="G7" s="239" t="s">
        <v>132</v>
      </c>
      <c r="H7" s="240"/>
      <c r="I7" s="109"/>
      <c r="J7" s="12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75" customHeight="1" x14ac:dyDescent="0.35">
      <c r="A8" s="22"/>
      <c r="B8" s="70"/>
      <c r="C8" s="70"/>
      <c r="D8" s="70"/>
      <c r="E8" s="249" t="str">
        <f ca="1">MID(CELL("filename",A1),FIND("]",CELL("filename",A1))+1,255)&amp;" Level Scorecard"</f>
        <v>Partner &amp; Placement Level Scorecard</v>
      </c>
      <c r="F8" s="249"/>
      <c r="G8" s="251" t="s">
        <v>132</v>
      </c>
      <c r="H8" s="252"/>
      <c r="I8" s="129"/>
      <c r="J8" s="127" t="s">
        <v>16</v>
      </c>
      <c r="K8" s="128">
        <f>VLOOKUP(K6,Benchmark_Legend[],MATCH(ColumnPP[[#This Row],[Metric]],Benchmark_Legend[#Headers],0),0)</f>
        <v>0.7</v>
      </c>
      <c r="L8" s="128">
        <f>VLOOKUP(L6,Benchmark_Legend[],MATCH(ColumnPP[[#This Row],[Metric]],Benchmark_Legend[#Headers],0),0)</f>
        <v>0.98</v>
      </c>
      <c r="M8" s="128">
        <f>VLOOKUP(M6,Benchmark_Legend[],MATCH(ColumnPP[[#This Row],[Metric]],Benchmark_Legend[#Headers],0),0)</f>
        <v>0.95</v>
      </c>
      <c r="N8" s="128">
        <f>VLOOKUP(N6,Benchmark_Legend[],MATCH(ColumnPP[[#This Row],[Metric]],Benchmark_Legend[#Headers],0),0)</f>
        <v>0.05</v>
      </c>
      <c r="O8" s="128">
        <f>VLOOKUP(O6,Benchmark_Legend[],MATCH(ColumnPP[[#This Row],[Metric]],Benchmark_Legend[#Headers],0),0)</f>
        <v>0.02</v>
      </c>
      <c r="P8" s="128">
        <f>VLOOKUP(P6,Benchmark_Legend[],MATCH(ColumnPP[[#This Row],[Metric]],Benchmark_Legend[#Headers],0),0)</f>
        <v>0.02</v>
      </c>
      <c r="Q8" s="128">
        <f>VLOOKUP(Q6,Benchmark_Legend[],MATCH(ColumnPP[[#This Row],[Metric]],Benchmark_Legend[#Headers],0),0)</f>
        <v>0.01</v>
      </c>
      <c r="R8" s="128">
        <f>VLOOKUP(R6,Benchmark_Legend[],MATCH(ColumnPP[[#This Row],[Metric]],Benchmark_Legend[#Headers],0),0)</f>
        <v>0.01</v>
      </c>
      <c r="S8" s="128">
        <f>VLOOKUP(S6,Benchmark_Legend[],MATCH(ColumnPP[[#This Row],[Metric]],Benchmark_Legend[#Headers],0),0)</f>
        <v>0.01</v>
      </c>
      <c r="T8" s="128">
        <f>VLOOKUP(T6,Benchmark_Legend[],MATCH(ColumnPP[[#This Row],[Metric]],Benchmark_Legend[#Headers],0),0)</f>
        <v>0.03</v>
      </c>
      <c r="U8" s="128">
        <f>VLOOKUP(U6,Benchmark_Legend[],MATCH(ColumnPP[[#This Row],[Metric]],Benchmark_Legend[#Headers],0),0)</f>
        <v>0.55000000000000004</v>
      </c>
      <c r="V8" s="128">
        <f>VLOOKUP(V6,Benchmark_Legend[],MATCH(ColumnPP[[#This Row],[Metric]],Benchmark_Legend[#Headers],0),0)</f>
        <v>0.6</v>
      </c>
      <c r="W8" s="128">
        <f>VLOOKUP(W6,Benchmark_Legend[],MATCH(ColumnPP[[#This Row],[Metric]],Benchmark_Legend[#Headers],0),0)</f>
        <v>0.5</v>
      </c>
      <c r="X8" s="128">
        <f>VLOOKUP(X6,Benchmark_Legend[],MATCH(ColumnPP[[#This Row],[Metric]],Benchmark_Legend[#Headers],0),0)</f>
        <v>0.35</v>
      </c>
      <c r="Y8" s="128">
        <f>VLOOKUP(Y6,Benchmark_Legend[],MATCH(ColumnPP[[#This Row],[Metric]],Benchmark_Legend[#Headers],0),0)</f>
        <v>0.25</v>
      </c>
      <c r="Z8" s="128">
        <f>VLOOKUP(Z6,Benchmark_Legend[],MATCH(ColumnPP[[#This Row],[Metric]],Benchmark_Legend[#Headers],0),0)</f>
        <v>0.35</v>
      </c>
      <c r="AA8" s="128">
        <f>VLOOKUP(AA6,Benchmark_Legend[],MATCH(ColumnPP[[#This Row],[Metric]],Benchmark_Legend[#Headers],0),0)</f>
        <v>0.25</v>
      </c>
    </row>
    <row r="9" spans="1:121" s="18" customFormat="1" ht="15.75" customHeight="1" thickBot="1" x14ac:dyDescent="0.4">
      <c r="A9" s="22"/>
      <c r="B9" s="243" t="s">
        <v>154</v>
      </c>
      <c r="C9" s="243"/>
      <c r="D9" s="243"/>
      <c r="E9" s="243"/>
      <c r="F9" s="243"/>
      <c r="G9" s="121" t="s">
        <v>14</v>
      </c>
      <c r="H9" s="122" t="s">
        <v>14</v>
      </c>
      <c r="I9" s="110"/>
      <c r="J9" s="111" t="s">
        <v>130</v>
      </c>
      <c r="K9" s="100">
        <f t="array" aca="1" ref="K9" ca="1">SUM(
IF((DataPP[Measured Rate 
'[% Measured']]&lt;&gt;"NULL"),
DataPP[Measured Rate 
'[% Measured']]*
SUBTOTAL(9,OFFSET(DataPP[Total Impressions],ROW(DataPP[Total Impressions])-MIN(ROW(DataPP[Total Impressions])),0,1))))
/
SUM(
IF((DataPP[Measured Rate 
'[% Measured']]&lt;&gt;"NULL"),
SUBTOTAL(9,OFFSET(DataPP[Total Impressions],ROW(DataPP[Total Impressions])-MIN(ROW(DataPP[Total Impressions])),0,1))))</f>
        <v>0.7</v>
      </c>
      <c r="L9" s="100">
        <f t="array" aca="1" ref="L9" ca="1">SUM(
IF((DataPP[See-Through Rate 
'[% Visible']]&lt;&gt;"NULL"),
DataPP[See-Through Rate 
'[% Visible']]*
SUBTOTAL(9,OFFSET(DataPP[Total Impressions],ROW(DataPP[Total Impressions])-MIN(ROW(DataPP[Total Impressions])),0,1))))
/
SUM(
IF((DataPP[See-Through Rate 
'[% Visible']]&lt;&gt;"NULL"),
SUBTOTAL(9,OFFSET(DataPP[Total Impressions],ROW(DataPP[Total Impressions])-MIN(ROW(DataPP[Total Impressions])),0,1))))</f>
        <v>0.98</v>
      </c>
      <c r="M9" s="112">
        <f t="array" aca="1" ref="M9" ca="1">SUM(
IF((DataPP[Brand Safety 
'[% Passed']]&lt;&gt;"NULL"),
DataPP[Brand Safety 
'[% Passed']]*
SUBTOTAL(9,OFFSET(DataPP[Total Impressions],ROW(DataPP[Total Impressions])-MIN(ROW(DataPP[Total Impressions])),0,1))))
/
SUM(
IF((DataPP[Brand Safety 
'[% Passed']]&lt;&gt;"NULL"),
SUBTOTAL(9,OFFSET(DataPP[Total Impressions],ROW(DataPP[Total Impressions])-MIN(ROW(DataPP[Total Impressions])),0,1))))</f>
        <v>0.95</v>
      </c>
      <c r="N9" s="112">
        <f t="array" aca="1" ref="N9" ca="1">SUM(
IF((DataPP[Brand Safety 
'[% Failed']]&lt;&gt;"NULL"),
DataPP[Brand Safety 
'[% Failed']]*
SUBTOTAL(9,OFFSET(DataPP[Total Impressions],ROW(DataPP[Total Impressions])-MIN(ROW(DataPP[Total Impressions])),0,1))))
/
SUM(
IF((DataPP[Brand Safety 
'[% Failed']]&lt;&gt;"NULL"),
SUBTOTAL(9,OFFSET(DataPP[Total Impressions],ROW(DataPP[Total Impressions])-MIN(ROW(DataPP[Total Impressions])),0,1))))</f>
        <v>0.05</v>
      </c>
      <c r="O9" s="112">
        <f t="array" aca="1" ref="O9" ca="1">SUM(
IF((DataPP[Brand Safety 
'[% Failed by Content']]&lt;&gt;"NULL"),
DataPP[Brand Safety 
'[% Failed by Content']]*
SUBTOTAL(9,OFFSET(DataPP[Total Impressions],ROW(DataPP[Total Impressions])-MIN(ROW(DataPP[Total Impressions])),0,1))))
/
SUM(
IF((DataPP[Brand Safety 
'[% Failed by Content']]&lt;&gt;"NULL"),
SUBTOTAL(9,OFFSET(DataPP[Total Impressions],ROW(DataPP[Total Impressions])-MIN(ROW(DataPP[Total Impressions])),0,1))))</f>
        <v>0.02</v>
      </c>
      <c r="P9" s="112">
        <f t="array" aca="1" ref="P9" ca="1">SUM(
IF((DataPP[Brand Safety 
'[% Failed by Geo']]&lt;&gt;"NULL"),
DataPP[Brand Safety 
'[% Failed by Geo']]*
SUBTOTAL(9,OFFSET(DataPP[Total Impressions],ROW(DataPP[Total Impressions])-MIN(ROW(DataPP[Total Impressions])),0,1))))
/
SUM(
IF((DataPP[Brand Safety 
'[% Failed by Geo']]&lt;&gt;"NULL"),
SUBTOTAL(9,OFFSET(DataPP[Total Impressions],ROW(DataPP[Total Impressions])-MIN(ROW(DataPP[Total Impressions])),0,1))))</f>
        <v>0.02</v>
      </c>
      <c r="Q9" s="100">
        <f t="array" aca="1" ref="Q9" ca="1">SUM(
IF((DataPP[Brand Safety 
'[% Failed by Keyword']]&lt;&gt;"NULL"),
DataPP[Brand Safety 
'[% Failed by Keyword']]*
SUBTOTAL(9,OFFSET(DataPP[Total Impressions],ROW(DataPP[Total Impressions])-MIN(ROW(DataPP[Total Impressions])),0,1))))
/
SUM(
IF((DataPP[Brand Safety 
'[% Failed by Keyword']]&lt;&gt;"NULL"),
SUBTOTAL(9,OFFSET(DataPP[Total Impressions],ROW(DataPP[Total Impressions])-MIN(ROW(DataPP[Total Impressions])),0,1))))</f>
        <v>0.01</v>
      </c>
      <c r="R9" s="100">
        <f t="array" aca="1" ref="R9" ca="1">SUM(
IF((DataPP[Brand Safety 
'[% Failed by Blacklist']]&lt;&gt;"NULL"),
DataPP[Brand Safety 
'[% Failed by Blacklist']]*
SUBTOTAL(9,OFFSET(DataPP[Total Impressions],ROW(DataPP[Total Impressions])-MIN(ROW(DataPP[Total Impressions])),0,1))))
/
SUM(
IF((DataPP[Brand Safety 
'[% Failed by Blacklist']]&lt;&gt;"NULL"),
SUBTOTAL(9,OFFSET(DataPP[Total Impressions],ROW(DataPP[Total Impressions])-MIN(ROW(DataPP[Total Impressions])),0,1))))</f>
        <v>0.01</v>
      </c>
      <c r="S9" s="100">
        <f t="array" aca="1" ref="S9" ca="1">SUM(
IF((DataPP[Brand Safety 
'[% Failed by Language']]&lt;&gt;"NULL"),
DataPP[Brand Safety 
'[% Failed by Language']]*
SUBTOTAL(9,OFFSET(DataPP[Total Impressions],ROW(DataPP[Total Impressions])-MIN(ROW(DataPP[Total Impressions])),0,1))))
/
SUM(
IF((DataPP[Brand Safety 
'[% Failed by Language']]&lt;&gt;"NULL"),
SUBTOTAL(9,OFFSET(DataPP[Total Impressions],ROW(DataPP[Total Impressions])-MIN(ROW(DataPP[Total Impressions])),0,1))))</f>
        <v>0.01</v>
      </c>
      <c r="T9" s="100">
        <f t="array" aca="1" ref="T9" ca="1">SUM(
IF((DataPP[Fraud 
'[% Fraud']]&lt;&gt;"NULL"),
DataPP[Fraud 
'[% Fraud']]*
SUBTOTAL(9,OFFSET(DataPP[Total Impressions],ROW(DataPP[Total Impressions])-MIN(ROW(DataPP[Total Impressions])),0,1))))
/
SUM(
IF((DataPP[Fraud 
'[% Fraud']]&lt;&gt;"NULL"),
SUBTOTAL(9,OFFSET(DataPP[Total Impressions],ROW(DataPP[Total Impressions])-MIN(ROW(DataPP[Total Impressions])),0,1))))</f>
        <v>0.03</v>
      </c>
      <c r="U9" s="100">
        <f t="array" aca="1" ref="U9" ca="1">SUM(
IF((DataPP[Viewability 
'[Total Viewable Rate (Total Net Metrics)']]&lt;&gt;"NULL"),
DataPP[Viewability 
'[Total Viewable Rate (Total Net Metrics)']]*SUBTOTAL(9,OFFSET(DataPP[Measured Impressions],ROW(DataPP[Measured Impressions])-MIN(ROW(DataPP[Measured Impressions])),0,1))))
/
SUM(
IF((DataPP[Viewability 
'[Total Viewable Rate (Total Net Metrics)']]&lt;&gt;"NULL"),
SUBTOTAL(9,OFFSET(DataPP[Measured Impressions],ROW(DataPP[Measured Impressions])-MIN(ROW(DataPP[Measured Impressions])),0,1))))</f>
        <v>0.55000000000000004</v>
      </c>
      <c r="V9" s="100">
        <f t="array" aca="1" ref="V9" ca="1">SUM(
IF((DataPP[Display Viewability 
'[Total Viewable Rate (Total Net Metrics)']]&lt;&gt;"NULL"),
DataPP[Display Viewability 
'[Total Viewable Rate (Total Net Metrics)']]*SUBTOTAL(9,OFFSET(DataPP[Measured Impressions],ROW(DataPP[Measured Impressions])-MIN(ROW(DataPP[Measured Impressions])),0,1))))
/
SUM(
IF((DataPP[Display Viewability 
'[Total Viewable Rate (Total Net Metrics)']]&lt;&gt;"NULL"),
SUBTOTAL(9,OFFSET(DataPP[Measured Impressions],ROW(DataPP[Measured Impressions])-MIN(ROW(DataPP[Measured Impressions])),0,1))))</f>
        <v>0.6</v>
      </c>
      <c r="W9" s="112">
        <f t="array" aca="1" ref="W9" ca="1">SUM(
IF((DataPP[Video Viewability 
'[Total Viewable Rate (Total Net Metrics)']]&lt;&gt;"NULL"),
DataPP[Video Viewability 
'[Total Viewable Rate (Total Net Metrics)']]*SUBTOTAL(9,OFFSET(DataPP[Measured Impressions],ROW(DataPP[Measured Impressions])-MIN(ROW(DataPP[Measured Impressions])),0,1))))
/
SUM(
IF((DataPP[Video Viewability 
'[Total Viewable Rate (Total Net Metrics)']]&lt;&gt;"NULL"),
SUBTOTAL(9,OFFSET(DataPP[Measured Impressions],ROW(DataPP[Measured Impressions])-MIN(ROW(DataPP[Measured Impressions])),0,1))))</f>
        <v>0.5</v>
      </c>
      <c r="X9" s="100">
        <f t="array" aca="1" ref="X9" ca="1">SUM(
IF((DataPP[GroupM Viewability 
'[% Display Ads Fully in View']]&lt;&gt;"NULL"),
DataPP[GroupM Viewability 
'[% Display Ads Fully in View']]*SUBTOTAL(9,OFFSET(DataPP[Measured Impressions],ROW(DataPP[Measured Impressions])-MIN(ROW(DataPP[Measured Impressions])),0,1))))
/
SUM(
IF((DataPP[GroupM Viewability 
'[% Display Ads Fully in View']]&lt;&gt;"NULL"),
SUBTOTAL(9,OFFSET(DataPP[Measured Impressions],ROW(DataPP[Measured Impressions])-MIN(ROW(DataPP[Measured Impressions])),0,1))))</f>
        <v>0.35</v>
      </c>
      <c r="Y9" s="112">
        <f t="array" aca="1" ref="Y9" ca="1">SUM(
IF((DataPP[GroupM Viewability 
'[% Videos Fully in View']]&lt;&gt;"NULL"),
DataPP[GroupM Viewability 
'[% Videos Fully in View']]*SUBTOTAL(9,OFFSET(DataPP[Measured Impressions],ROW(DataPP[Measured Impressions])-MIN(ROW(DataPP[Measured Impressions])),0,1))))
/
SUM(
IF((DataPP[GroupM Viewability 
'[% Videos Fully in View']]&lt;&gt;"NULL"),
SUBTOTAL(9,OFFSET(DataPP[Measured Impressions],ROW(DataPP[Measured Impressions])-MIN(ROW(DataPP[Measured Impressions])),0,1))))</f>
        <v>0.25</v>
      </c>
      <c r="Z9" s="100">
        <f t="array" aca="1" ref="Z9" ca="1">SUM(
IF((DataPP[Publicis Viewability 
'[% Display Ads Fully in View']]&lt;&gt;"NULL"),
DataPP[Publicis Viewability 
'[% Display Ads Fully in View']]*SUBTOTAL(9,OFFSET(DataPP[Measured Impressions],ROW(DataPP[Measured Impressions])-MIN(ROW(DataPP[Measured Impressions])),0,1))))
/
SUM(
IF((DataPP[Publicis Viewability 
'[% Display Ads Fully in View']]&lt;&gt;"NULL"),
SUBTOTAL(9,OFFSET(DataPP[Measured Impressions],ROW(DataPP[Measured Impressions])-MIN(ROW(DataPP[Measured Impressions])),0,1))))</f>
        <v>0.35</v>
      </c>
      <c r="AA9" s="100">
        <f t="array" aca="1" ref="AA9" ca="1">SUM(
IF((DataPP[Publicis Viewability 
'[% Videos Fully in View']]&lt;&gt;"NULL"),
DataPP[Publicis Viewability 
'[% Videos Fully in View']]*SUBTOTAL(9,OFFSET(DataPP[Measured Impressions],ROW(DataPP[Measured Impressions])-MIN(ROW(DataPP[Measured Impressions])),0,1))))
/
SUM(
IF((DataPP[Publicis Viewability 
'[% Videos Fully in View']]&lt;&gt;"NULL"),
SUBTOTAL(9,OFFSET(DataPP[Measured Impressions],ROW(DataPP[Measured Impressions])-MIN(ROW(DataPP[Measured Impressions])),0,1))))</f>
        <v>0.25</v>
      </c>
    </row>
    <row r="10" spans="1:121" s="18" customFormat="1" ht="15.75" hidden="1" customHeight="1" x14ac:dyDescent="0.35">
      <c r="A10" s="244"/>
      <c r="B10" s="245"/>
      <c r="C10" s="245"/>
      <c r="D10" s="245"/>
      <c r="E10" s="60"/>
      <c r="F10" s="60"/>
      <c r="G10" s="124" t="s">
        <v>14</v>
      </c>
      <c r="H10" s="124"/>
      <c r="I10" s="27"/>
      <c r="J10" s="102" t="s">
        <v>126</v>
      </c>
      <c r="K10" s="31" t="e">
        <f t="array" aca="1" ref="K10" ca="1">SUM(
IF(DataPP[Measured Rate 
'[% Measured']]&lt;&gt;"NULL",
IF(DataPP[Device Type]=ColumnPP[[#This Row],[Metric]],
DataPP[Measured Rate 
'[% Measured']]*
SUBTOTAL(9,OFFSET(DataPP[Total Impressions],ROW(DataPP[Total Impressions])-MIN(ROW(DataPP[Total Impressions])),0,1)))))
/
SUM(
IF(DataPP[Measured Rate 
'[% Measured']]&lt;&gt;"NULL",
IF(DataPP[Device Type]=ColumnPP[[#This Row],[Metric]],
SUBTOTAL(9,OFFSET(DataPP[Total Impressions],ROW(DataPP[Total Impressions])-MIN(ROW(DataPP[Total Impressions])),0,1)))))</f>
        <v>#DIV/0!</v>
      </c>
      <c r="L10" s="32" t="e">
        <f t="array" aca="1" ref="L10" ca="1">SUM(
IF(DataPP[See-Through Rate 
'[% Visible']]&lt;&gt;"NULL",
IF(DataPP[Device Type]=ColumnPP[[#This Row],[Metric]],
DataPP[See-Through Rate 
'[% Visible']]*
SUBTOTAL(9,OFFSET(DataPP[Total Impressions],ROW(DataPP[Total Impressions])-MIN(ROW(DataPP[Total Impressions])),0,1)))))
/
SUM(
IF(DataPP[See-Through Rate 
'[% Visible']]&lt;&gt;"NULL",
IF(DataPP[Device Type]=ColumnPP[[#This Row],[Metric]],
SUBTOTAL(9,OFFSET(DataPP[Total Impressions],ROW(DataPP[Total Impressions])-MIN(ROW(DataPP[Total Impressions])),0,1)))))</f>
        <v>#DIV/0!</v>
      </c>
      <c r="M10" s="32" t="e">
        <f t="array" aca="1" ref="M10" ca="1">SUM(
IF(DataPP[Brand Safety 
'[% Passed']]&lt;&gt;"NULL",
IF(DataPP[Device Type]=ColumnPP[[#This Row],[Metric]],
DataPP[Brand Safety 
'[% Passed']]*
SUBTOTAL(9,OFFSET(DataPP[Total Impressions],ROW(DataPP[Total Impressions])-MIN(ROW(DataPP[Total Impressions])),0,1)))))
/
SUM(
IF(DataPP[Brand Safety 
'[% Passed']]&lt;&gt;"NULL",
IF(DataPP[Device Type]=ColumnPP[[#This Row],[Metric]],
SUBTOTAL(9,OFFSET(DataPP[Total Impressions],ROW(DataPP[Total Impressions])-MIN(ROW(DataPP[Total Impressions])),0,1)))))</f>
        <v>#DIV/0!</v>
      </c>
      <c r="N10" s="32" t="e">
        <f t="array" aca="1" ref="N10" ca="1">SUM(
IF(DataPP[Brand Safety 
'[% Failed']]&lt;&gt;"NULL",
IF(DataPP[Device Type]=ColumnPP[[#This Row],[Metric]],
DataPP[Brand Safety 
'[% Failed']]*
SUBTOTAL(9,OFFSET(DataPP[Total Impressions],ROW(DataPP[Total Impressions])-MIN(ROW(DataPP[Total Impressions])),0,1)))))
/
SUM(
IF(DataPP[Brand Safety 
'[% Failed']]&lt;&gt;"NULL",
IF(DataPP[Device Type]=ColumnPP[[#This Row],[Metric]],
SUBTOTAL(9,OFFSET(DataPP[Total Impressions],ROW(DataPP[Total Impressions])-MIN(ROW(DataPP[Total Impressions])),0,1)))))</f>
        <v>#DIV/0!</v>
      </c>
      <c r="O10" s="32" t="e">
        <f t="array" aca="1" ref="O10" ca="1">SUM(
IF(DataPP[Brand Safety 
'[% Failed by Content']]&lt;&gt;"NULL",
IF(DataPP[Device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IF(DataPP[Device Type]=ColumnPP[[#This Row],[Metric]],
SUBTOTAL(9,OFFSET(DataPP[Total Impressions],ROW(DataPP[Total Impressions])-MIN(ROW(DataPP[Total Impressions])),0,1)))))</f>
        <v>#DIV/0!</v>
      </c>
      <c r="P10" s="32" t="e">
        <f t="array" aca="1" ref="P10" ca="1">SUM(
IF(DataPP[Brand Safety 
'[% Failed by Geo']]&lt;&gt;"NULL",
IF(DataPP[Device Type]=ColumnPP[[#This Row],[Metric]],
DataPP[Brand Safety 
'[% Failed by Geo']]*
SUBTOTAL(9,OFFSET(DataPP[Total Impressions],ROW(DataPP[Total Impressions])-MIN(ROW(DataPP[Total Impressions])),0,1)))))
/
SUM(
IF(DataPP[Brand Safety 
'[% Failed by Geo']]&lt;&gt;"NULL",
IF(DataPP[Device Type]=ColumnPP[[#This Row],[Metric]],
SUBTOTAL(9,OFFSET(DataPP[Total Impressions],ROW(DataPP[Total Impressions])-MIN(ROW(DataPP[Total Impressions])),0,1)))))</f>
        <v>#DIV/0!</v>
      </c>
      <c r="Q10" s="32" t="e">
        <f t="array" aca="1" ref="Q10" ca="1">SUM(
IF(DataPP[Brand Safety 
'[% Failed by Keyword']]&lt;&gt;"NULL",
IF(DataPP[Device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IF(DataPP[Device Type]=ColumnPP[[#This Row],[Metric]],
SUBTOTAL(9,OFFSET(DataPP[Total Impressions],ROW(DataPP[Total Impressions])-MIN(ROW(DataPP[Total Impressions])),0,1)))))</f>
        <v>#DIV/0!</v>
      </c>
      <c r="R10" s="32" t="e">
        <f t="array" aca="1" ref="R10" ca="1">SUM(
IF(DataPP[Brand Safety 
'[% Failed by Blacklist']]&lt;&gt;"NULL",
IF(DataPP[Device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IF(DataPP[Device Type]=ColumnPP[[#This Row],[Metric]],
SUBTOTAL(9,OFFSET(DataPP[Total Impressions],ROW(DataPP[Total Impressions])-MIN(ROW(DataPP[Total Impressions])),0,1)))))</f>
        <v>#DIV/0!</v>
      </c>
      <c r="S10" s="32" t="e">
        <f t="array" aca="1" ref="S10" ca="1">SUM(
IF(DataPP[Brand Safety 
'[% Failed by Language']]&lt;&gt;"NULL",
IF(DataPP[Device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IF(DataPP[Device Type]=ColumnPP[[#This Row],[Metric]],
SUBTOTAL(9,OFFSET(DataPP[Total Impressions],ROW(DataPP[Total Impressions])-MIN(ROW(DataPP[Total Impressions])),0,1)))))</f>
        <v>#DIV/0!</v>
      </c>
      <c r="T10" s="32" t="e">
        <f t="array" aca="1" ref="T10" ca="1">SUM(
IF(DataPP[Fraud 
'[% Fraud']]&lt;&gt;"NULL",
IF(DataPP[Device Type]=ColumnPP[[#This Row],[Metric]],
DataPP[Fraud 
'[% Fraud']]*
SUBTOTAL(9,OFFSET(DataPP[Total Impressions],ROW(DataPP[Total Impressions])-MIN(ROW(DataPP[Total Impressions])),0,1)))))
/
SUM(
IF(DataPP[Fraud 
'[% Fraud']]&lt;&gt;"NULL",
IF(DataPP[Device Type]=ColumnPP[[#This Row],[Metric]],
SUBTOTAL(9,OFFSET(DataPP[Total Impressions],ROW(DataPP[Total Impressions])-MIN(ROW(DataPP[Total Impressions])),0,1)))))</f>
        <v>#DIV/0!</v>
      </c>
      <c r="U10" s="32" t="e">
        <f t="array" aca="1" ref="U10" ca="1">SUM(
IF(DataPP[Viewability 
'[Total Viewable Rate (Total Net Metrics)']]&lt;&gt;"NULL",
IF(DataPP[Device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V10" s="32" t="e">
        <f t="array" aca="1" ref="V10" ca="1">SUM(
IF(DataPP[Display Viewability 
'[Total Viewable Rate (Total Net Metrics)']]&lt;&gt;"NULL",
IF(DataPP[Device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W10" s="32" t="e">
        <f t="array" aca="1" ref="W10" ca="1">SUM(
IF(DataPP[Video Viewability 
'[Total Viewable Rate (Total Net Metrics)']]&lt;&gt;"NULL",
IF(DataPP[Device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IF(DataPP[Device Type]=ColumnPP[[#This Row],[Metric]],
SUBTOTAL(9,OFFSET(DataPP[Total Impressions],ROW(DataPP[Total Impressions])-MIN(ROW(DataPP[Total Impressions])),0,1)))))</f>
        <v>#DIV/0!</v>
      </c>
      <c r="X10" s="32" t="e">
        <f t="array" aca="1" ref="X10" ca="1">SUM(
IF(DataPP[GroupM Viewability 
'[% Display Ads Fully in View']]&lt;&gt;"NULL",
IF(DataPP[Device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Y10" s="32" t="e">
        <f t="array" aca="1" ref="Y10" ca="1">SUM(
IF(DataPP[GroupM Viewability 
'[% Videos Fully in View']]&lt;&gt;"NULL",
IF(DataPP[Device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IF(DataPP[Device Type]=ColumnPP[[#This Row],[Metric]],
SUBTOTAL(9,OFFSET(DataPP[Total Impressions],ROW(DataPP[Total Impressions])-MIN(ROW(DataPP[Total Impressions])),0,1)))))</f>
        <v>#DIV/0!</v>
      </c>
      <c r="Z10" s="32" t="e">
        <f t="array" aca="1" ref="Z10" ca="1">SUM(
IF(DataPP[Publicis Viewability 
'[% Display Ads Fully in View']]&lt;&gt;"NULL",
IF(DataPP[Device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IF(DataPP[Device Type]=ColumnPP[[#This Row],[Metric]],
SUBTOTAL(9,OFFSET(DataPP[Total Impressions],ROW(DataPP[Total Impressions])-MIN(ROW(DataPP[Total Impressions])),0,1)))))</f>
        <v>#DIV/0!</v>
      </c>
      <c r="AA10" s="32" t="e">
        <f t="array" aca="1" ref="AA10" ca="1">SUM(
IF(DataPP[Publicis Viewability 
'[% Videos Fully in View']]&lt;&gt;"NULL",
IF(DataPP[Device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IF(DataPP[Device Type]=ColumnPP[[#This Row],[Metric]],
SUBTOTAL(9,OFFSET(DataPP[Total Impressions],ROW(DataPP[Total Impressions])-MIN(ROW(DataPP[Total Impressions])),0,1)))))</f>
        <v>#DIV/0!</v>
      </c>
    </row>
    <row r="11" spans="1:121" s="18" customFormat="1" ht="16.5" hidden="1" customHeight="1" x14ac:dyDescent="0.35">
      <c r="A11" s="246"/>
      <c r="B11" s="247"/>
      <c r="C11" s="247"/>
      <c r="D11" s="247"/>
      <c r="E11" s="59"/>
      <c r="F11" s="59"/>
      <c r="G11" s="124" t="s">
        <v>14</v>
      </c>
      <c r="H11" s="124"/>
      <c r="I11" s="27"/>
      <c r="J11" s="102" t="s">
        <v>140</v>
      </c>
      <c r="K11" s="31" t="e">
        <f t="array" aca="1" ref="K11" ca="1">SUM(
IF(DataPP[Measured Rate 
'[% Measured']]&lt;&gt;"NULL",
IF(DataPP[Partner Type]=ColumnPP[[#This Row],[Metric]],
DataPP[Measured Rate 
'[% Measured']]*
SUBTOTAL(9,OFFSET(DataPP[Total Impressions],ROW(DataPP[Total Impressions])-MIN(ROW(DataPP[Total Impressions])),0,1)))))
/
SUM(
IF(DataPP[Measured Rate 
'[% Measured']]&lt;&gt;"NULL",
IF(DataPP[Partner Type]=ColumnPP[[#This Row],[Metric]],
SUBTOTAL(9,OFFSET(DataPP[Total Impressions],ROW(DataPP[Total Impressions])-MIN(ROW(DataPP[Total Impressions])),0,1)))))</f>
        <v>#DIV/0!</v>
      </c>
      <c r="L11" s="32" t="e">
        <f t="array" aca="1" ref="L11" ca="1">SUM(
IF(DataPP[See-Through Rate 
'[% Visible']]&lt;&gt;"NULL",
IF(DataPP[Partner Type]=ColumnPP[[#This Row],[Metric]],
DataPP[See-Through Rate 
'[% Visible']]*
SUBTOTAL(9,OFFSET(DataPP[Total Impressions],ROW(DataPP[Total Impressions])-MIN(ROW(DataPP[Total Impressions])),0,1)))))
/
SUM(
IF(DataPP[See-Through Rate 
'[% Visible']]&lt;&gt;"NULL",
IF(DataPP[Partner Type]=ColumnPP[[#This Row],[Metric]],
SUBTOTAL(9,OFFSET(DataPP[Total Impressions],ROW(DataPP[Total Impressions])-MIN(ROW(DataPP[Total Impressions])),0,1)))))</f>
        <v>#DIV/0!</v>
      </c>
      <c r="M11" s="32" t="e">
        <f t="array" aca="1" ref="M11" ca="1">SUM(
IF(DataPP[Brand Safety 
'[% Passed']]&lt;&gt;"NULL",
IF(DataPP[Partner Type]=ColumnPP[[#This Row],[Metric]],
DataPP[Brand Safety 
'[% Passed']]*
SUBTOTAL(9,OFFSET(DataPP[Total Impressions],ROW(DataPP[Total Impressions])-MIN(ROW(DataPP[Total Impressions])),0,1)))))
/
SUM(
IF(DataPP[Brand Safety 
'[% Passed']]&lt;&gt;"NULL",
IF(DataPP[Partner Type]=ColumnPP[[#This Row],[Metric]],
SUBTOTAL(9,OFFSET(DataPP[Total Impressions],ROW(DataPP[Total Impressions])-MIN(ROW(DataPP[Total Impressions])),0,1)))))</f>
        <v>#DIV/0!</v>
      </c>
      <c r="N11" s="32" t="e">
        <f t="array" aca="1" ref="N11" ca="1">SUM(
IF(DataPP[Brand Safety 
'[% Failed']]&lt;&gt;"NULL",
IF(DataPP[Partner Type]=ColumnPP[[#This Row],[Metric]],
DataPP[Brand Safety 
'[% Failed']]*
SUBTOTAL(9,OFFSET(DataPP[Total Impressions],ROW(DataPP[Total Impressions])-MIN(ROW(DataPP[Total Impressions])),0,1)))))
/
SUM(
IF(DataPP[Brand Safety 
'[% Failed']]&lt;&gt;"NULL",
IF(DataPP[Partner Type]=ColumnPP[[#This Row],[Metric]],
SUBTOTAL(9,OFFSET(DataPP[Total Impressions],ROW(DataPP[Total Impressions])-MIN(ROW(DataPP[Total Impressions])),0,1)))))</f>
        <v>#DIV/0!</v>
      </c>
      <c r="O11" s="32" t="e">
        <f t="array" aca="1" ref="O11" ca="1">SUM(
IF(DataPP[Brand Safety 
'[% Failed by Content']]&lt;&gt;"NULL",
IF(DataPP[Partner Type]=ColumnPP[[#This Row],[Metric]],
DataPP[Brand Safety 
'[% Failed by Content']]*
SUBTOTAL(9,OFFSET(DataPP[Total Impressions],ROW(DataPP[Total Impressions])-MIN(ROW(DataPP[Total Impressions])),0,1)))))
/
SUM(
IF(DataPP[Brand Safety 
'[% Failed by Content']]&lt;&gt;"NULL",
IF(DataPP[Partner Type]=ColumnPP[[#This Row],[Metric]],
SUBTOTAL(9,OFFSET(DataPP[Total Impressions],ROW(DataPP[Total Impressions])-MIN(ROW(DataPP[Total Impressions])),0,1)))))</f>
        <v>#DIV/0!</v>
      </c>
      <c r="P11" s="32" t="e">
        <f t="array" aca="1" ref="P11" ca="1">SUM(
IF(DataPP[Brand Safety 
'[% Failed by Geo']]&lt;&gt;"NULL",
IF(DataPP[Partner Type]=ColumnPP[[#This Row],[Metric]],
DataPP[Brand Safety 
'[% Failed by Geo']]*
SUBTOTAL(9,OFFSET(DataPP[Total Impressions],ROW(DataPP[Total Impressions])-MIN(ROW(DataPP[Total Impressions])),0,1)))))
/
SUM(
IF(DataPP[Brand Safety 
'[% Failed by Geo']]&lt;&gt;"NULL",
IF(DataPP[Partner Type]=ColumnPP[[#This Row],[Metric]],
SUBTOTAL(9,OFFSET(DataPP[Total Impressions],ROW(DataPP[Total Impressions])-MIN(ROW(DataPP[Total Impressions])),0,1)))))</f>
        <v>#DIV/0!</v>
      </c>
      <c r="Q11" s="32" t="e">
        <f t="array" aca="1" ref="Q11" ca="1">SUM(
IF(DataPP[Brand Safety 
'[% Failed by Keyword']]&lt;&gt;"NULL",
IF(DataPP[Partner Type]=ColumnPP[[#This Row],[Metric]],
DataPP[Brand Safety 
'[% Failed by Keyword']]*
SUBTOTAL(9,OFFSET(DataPP[Total Impressions],ROW(DataPP[Total Impressions])-MIN(ROW(DataPP[Total Impressions])),0,1)))))
/
SUM(
IF(DataPP[Brand Safety 
'[% Failed by Keyword']]&lt;&gt;"NULL",
IF(DataPP[Partner Type]=ColumnPP[[#This Row],[Metric]],
SUBTOTAL(9,OFFSET(DataPP[Total Impressions],ROW(DataPP[Total Impressions])-MIN(ROW(DataPP[Total Impressions])),0,1)))))</f>
        <v>#DIV/0!</v>
      </c>
      <c r="R11" s="32" t="e">
        <f t="array" aca="1" ref="R11" ca="1">SUM(
IF(DataPP[Brand Safety 
'[% Failed by Blacklist']]&lt;&gt;"NULL",
IF(DataPP[Partner Type]=ColumnPP[[#This Row],[Metric]],
DataPP[Brand Safety 
'[% Failed by Blacklist']]*
SUBTOTAL(9,OFFSET(DataPP[Total Impressions],ROW(DataPP[Total Impressions])-MIN(ROW(DataPP[Total Impressions])),0,1)))))
/
SUM(
IF(DataPP[Brand Safety 
'[% Failed by Blacklist']]&lt;&gt;"NULL",
IF(DataPP[Partner Type]=ColumnPP[[#This Row],[Metric]],
SUBTOTAL(9,OFFSET(DataPP[Total Impressions],ROW(DataPP[Total Impressions])-MIN(ROW(DataPP[Total Impressions])),0,1)))))</f>
        <v>#DIV/0!</v>
      </c>
      <c r="S11" s="32" t="e">
        <f t="array" aca="1" ref="S11" ca="1">SUM(
IF(DataPP[Brand Safety 
'[% Failed by Language']]&lt;&gt;"NULL",
IF(DataPP[Partner Type]=ColumnPP[[#This Row],[Metric]],
DataPP[Brand Safety 
'[% Failed by Language']]*
SUBTOTAL(9,OFFSET(DataPP[Total Impressions],ROW(DataPP[Total Impressions])-MIN(ROW(DataPP[Total Impressions])),0,1)))))
/
SUM(
IF(DataPP[Brand Safety 
'[% Failed by Language']]&lt;&gt;"NULL",
IF(DataPP[Partner Type]=ColumnPP[[#This Row],[Metric]],
SUBTOTAL(9,OFFSET(DataPP[Total Impressions],ROW(DataPP[Total Impressions])-MIN(ROW(DataPP[Total Impressions])),0,1)))))</f>
        <v>#DIV/0!</v>
      </c>
      <c r="T11" s="32" t="e">
        <f t="array" aca="1" ref="T11" ca="1">SUM(
IF(DataPP[Fraud 
'[% Fraud']]&lt;&gt;"NULL",
IF(DataPP[Partner Type]=ColumnPP[[#This Row],[Metric]],
DataPP[Fraud 
'[% Fraud']]*
SUBTOTAL(9,OFFSET(DataPP[Total Impressions],ROW(DataPP[Total Impressions])-MIN(ROW(DataPP[Total Impressions])),0,1)))))
/
SUM(
IF(DataPP[Fraud 
'[% Fraud']]&lt;&gt;"NULL",
IF(DataPP[Partner Type]=ColumnPP[[#This Row],[Metric]],
SUBTOTAL(9,OFFSET(DataPP[Total Impressions],ROW(DataPP[Total Impressions])-MIN(ROW(DataPP[Total Impressions])),0,1)))))</f>
        <v>#DIV/0!</v>
      </c>
      <c r="U11" s="32" t="e">
        <f t="array" aca="1" ref="U11" ca="1">SUM(
IF(DataPP[Viewability 
'[Total Viewable Rate (Total Net Metrics)']]&lt;&gt;"NULL",
IF(DataPP[Partner Type]=ColumnPP[[#This Row],[Metric]],
DataPP[Viewability 
'[Total Viewable Rate (Total Net Metrics)']]*
SUBTOTAL(9,OFFSET(DataPP[Total Impressions],ROW(DataPP[Total Impressions])-MIN(ROW(DataPP[Total Impressions])),0,1)))))
/
SUM(
IF(DataPP[Viewability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V11" s="32" t="e">
        <f t="array" aca="1" ref="V11" ca="1">SUM(
IF(DataPP[Display Viewability 
'[Total Viewable Rate (Total Net Metrics)']]&lt;&gt;"NULL",
IF(DataPP[Partner Type]=ColumnPP[[#This Row],[Metric]],
DataPP[Display Viewability 
'[Total Viewable Rate (Total Net Metrics)']]*
SUBTOTAL(9,OFFSET(DataPP[Total Impressions],ROW(DataPP[Total Impressions])-MIN(ROW(DataPP[Total Impressions])),0,1)))))
/
SUM(
IF(DataPP[Display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W11" s="32" t="e">
        <f t="array" aca="1" ref="W11" ca="1">SUM(
IF(DataPP[Video Viewability 
'[Total Viewable Rate (Total Net Metrics)']]&lt;&gt;"NULL",
IF(DataPP[Partner Type]=ColumnPP[[#This Row],[Metric]],
DataPP[Video Viewability 
'[Total Viewable Rate (Total Net Metrics)']]*
SUBTOTAL(9,OFFSET(DataPP[Total Impressions],ROW(DataPP[Total Impressions])-MIN(ROW(DataPP[Total Impressions])),0,1)))))
/
SUM(
IF(DataPP[Video Viewability 
'[Total Viewable Rate (Total Net Metrics)']]&lt;&gt;"NULL",
IF(DataPP[Partner Type]=ColumnPP[[#This Row],[Metric]],
SUBTOTAL(9,OFFSET(DataPP[Total Impressions],ROW(DataPP[Total Impressions])-MIN(ROW(DataPP[Total Impressions])),0,1)))))</f>
        <v>#DIV/0!</v>
      </c>
      <c r="X11" s="32" t="e">
        <f t="array" aca="1" ref="X11" ca="1">SUM(
IF(DataPP[GroupM Viewability 
'[% Display Ads Fully in View']]&lt;&gt;"NULL",
IF(DataPP[Partner Type]=ColumnPP[[#This Row],[Metric]],
DataPP[GroupM Viewability 
'[% Display Ads Fully in View']]*
SUBTOTAL(9,OFFSET(DataPP[Total Impressions],ROW(DataPP[Total Impressions])-MIN(ROW(DataPP[Total Impressions])),0,1)))))
/
SUM(
IF(DataPP[GroupM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Y11" s="32" t="e">
        <f t="array" aca="1" ref="Y11" ca="1">SUM(
IF(DataPP[GroupM Viewability 
'[% Videos Fully in View']]&lt;&gt;"NULL",
IF(DataPP[Partner Type]=ColumnPP[[#This Row],[Metric]],
DataPP[GroupM Viewability 
'[% Videos Fully in View']]*
SUBTOTAL(9,OFFSET(DataPP[Total Impressions],ROW(DataPP[Total Impressions])-MIN(ROW(DataPP[Total Impressions])),0,1)))))
/
SUM(
IF(DataPP[GroupM Viewability 
'[% Videos Fully in View']]&lt;&gt;"NULL",
IF(DataPP[Partner Type]=ColumnPP[[#This Row],[Metric]],
SUBTOTAL(9,OFFSET(DataPP[Total Impressions],ROW(DataPP[Total Impressions])-MIN(ROW(DataPP[Total Impressions])),0,1)))))</f>
        <v>#DIV/0!</v>
      </c>
      <c r="Z11" s="32" t="e">
        <f t="array" aca="1" ref="Z11" ca="1">SUM(
IF(DataPP[Publicis Viewability 
'[% Display Ads Fully in View']]&lt;&gt;"NULL",
IF(DataPP[Partner Type]=ColumnPP[[#This Row],[Metric]],
DataPP[Publicis Viewability 
'[% Display Ads Fully in View']]*
SUBTOTAL(9,OFFSET(DataPP[Total Impressions],ROW(DataPP[Total Impressions])-MIN(ROW(DataPP[Total Impressions])),0,1)))))
/
SUM(
IF(DataPP[Publicis Viewability 
'[% Display Ads Fully in View']]&lt;&gt;"NULL",
IF(DataPP[Partner Type]=ColumnPP[[#This Row],[Metric]],
SUBTOTAL(9,OFFSET(DataPP[Total Impressions],ROW(DataPP[Total Impressions])-MIN(ROW(DataPP[Total Impressions])),0,1)))))</f>
        <v>#DIV/0!</v>
      </c>
      <c r="AA11" s="32" t="e">
        <f t="array" aca="1" ref="AA11" ca="1">SUM(
IF(DataPP[Publicis Viewability 
'[% Videos Fully in View']]&lt;&gt;"NULL",
IF(DataPP[Partner Type]=ColumnPP[[#This Row],[Metric]],
DataPP[Publicis Viewability 
'[% Videos Fully in View']]*
SUBTOTAL(9,OFFSET(DataPP[Total Impressions],ROW(DataPP[Total Impressions])-MIN(ROW(DataPP[Total Impressions])),0,1)))))
/
SUM(
IF(DataPP[Publicis Viewability 
'[% Videos Fully in View']]&lt;&gt;"NULL",
IF(DataPP[Partner Type]=ColumnPP[[#This Row],[Metric]],
SUBTOTAL(9,OFFSET(DataPP[Total Impressions],ROW(DataPP[Total Impressions])-MIN(ROW(DataPP[Total Impressions])),0,1)))))</f>
        <v>#DIV/0!</v>
      </c>
    </row>
    <row r="12" spans="1:121" s="18" customFormat="1" ht="16.5" hidden="1" customHeight="1" x14ac:dyDescent="0.35">
      <c r="A12" s="244"/>
      <c r="B12" s="245"/>
      <c r="C12" s="245"/>
      <c r="D12" s="245"/>
      <c r="E12" s="60"/>
      <c r="F12" s="60"/>
      <c r="G12" s="250" t="s">
        <v>8</v>
      </c>
      <c r="H12" s="250"/>
      <c r="I12" s="27"/>
      <c r="J12" s="103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5.75" hidden="1" customHeight="1" x14ac:dyDescent="0.35">
      <c r="A13" s="22"/>
      <c r="B13" s="33"/>
      <c r="C13" s="33"/>
      <c r="D13" s="33"/>
      <c r="E13" s="63"/>
      <c r="F13" s="63"/>
      <c r="G13" s="250" t="s">
        <v>8</v>
      </c>
      <c r="H13" s="250"/>
      <c r="I13" s="2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1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  <c r="AA13" s="108">
        <v>0</v>
      </c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13" t="s">
        <v>21</v>
      </c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IF(DataT[[#Headers],[Region (Team)]]="Brand",VLOOKUP(DataPP[[#This Row],[Campaign]],Map_Campaign[],2,0),
IF(DataT[[#Headers],[Region (Team)]]="Region (Team)",VLOOKUP(DataPP[[#This Row],[Team]],Map_Team[],2,0),
IF(DataT[[#Headers],[Region (Team)]]="Region (Campaign)",VLOOKUP(DataPP[[#This Row],[Campaign]],Map_Campaign[],3,0),
IF(DataT[[#Headers],[Region (Team)]]="Partner Type",VLOOKUP(DataPP[[#This Row],[Partner]],Map_Partner[],2,0),
IF(DataT[[#Headers],[Region (Team)]]="Device Type",VLOOKUP(DataPP[[#This Row],[Placement]],Map_Placement[],3,0),
IF(DataT[[#Headers],[Region (Team)]]="Creative Size",VLOOKUP(DataPP[[#This Row],[Placement]],Map_Placement[],2,0),"Not a mapping option.")))))),
"[Unmapped]")</f>
        <v>[Unmapped]</v>
      </c>
      <c r="C16" s="45" t="s">
        <v>10</v>
      </c>
      <c r="D16" s="46" t="s">
        <v>10</v>
      </c>
      <c r="E16" s="46" t="s">
        <v>142</v>
      </c>
      <c r="F16" s="46" t="s">
        <v>145</v>
      </c>
      <c r="G16" s="46" t="s">
        <v>10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1">
    <mergeCell ref="G6:H6"/>
    <mergeCell ref="G7:H7"/>
    <mergeCell ref="G8:H8"/>
    <mergeCell ref="E6:F6"/>
    <mergeCell ref="E8:F8"/>
    <mergeCell ref="A12:D12"/>
    <mergeCell ref="G12:H12"/>
    <mergeCell ref="G13:H13"/>
    <mergeCell ref="B9:F9"/>
    <mergeCell ref="A10:D10"/>
    <mergeCell ref="A11:D11"/>
  </mergeCells>
  <conditionalFormatting sqref="K16:AA16">
    <cfRule type="cellIs" dxfId="310" priority="10" operator="equal">
      <formula>""</formula>
    </cfRule>
  </conditionalFormatting>
  <conditionalFormatting sqref="A6:E8 A1:XFD5 A9:G9 G6:XFD6 F7:J7 G8:XFD8 I9:XFD9 A10:XFD1048576 AB7:XFD7">
    <cfRule type="expression" dxfId="309" priority="9">
      <formula>ISERROR(A1)</formula>
    </cfRule>
  </conditionalFormatting>
  <conditionalFormatting sqref="K16:AA16 K9:AA11">
    <cfRule type="expression" dxfId="308" priority="12">
      <formula>IF(K$7="N/A",0,IF(K$7="Above",K9&lt;=(1-$J$4)*K$8,K9&gt;=(1+$J$4)*K$8))</formula>
    </cfRule>
    <cfRule type="expression" dxfId="307" priority="13">
      <formula>IF(OR(K$7="N/A",K9=0),0,IF(K$7="Above",K9&gt;=(1+$J$3)*K$8,K9&lt;=(1-$J$3)*K$8))</formula>
    </cfRule>
  </conditionalFormatting>
  <conditionalFormatting sqref="H9">
    <cfRule type="expression" dxfId="306" priority="2">
      <formula>ISERROR(H9)</formula>
    </cfRule>
  </conditionalFormatting>
  <conditionalFormatting sqref="K7:AA7">
    <cfRule type="expression" dxfId="305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K10:AA11 J11 G9:G11 J9 AB12:XFD13 A13:D13 H9" xr:uid="{00000000-0002-0000-0400-000000000000}"/>
    <dataValidation type="list" allowBlank="1" showInputMessage="1" showErrorMessage="1" errorTitle="Invalid Entry" error="Please select/enter a value from 1 to 5 from the dropdown." sqref="J10" xr:uid="{00000000-0002-0000-04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4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4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400-000005000000}"/>
    <dataValidation allowBlank="1" showInputMessage="1" showErrorMessage="1" prompt="Cell will highlight red if performance deviates by more than this percentage of the client goal." sqref="J4" xr:uid="{00000000-0002-0000-0400-000006000000}"/>
    <dataValidation type="list" allowBlank="1" showInputMessage="1" showErrorMessage="1" sqref="B15" xr:uid="{00000000-0002-0000-0400-000007000000}">
      <formula1>"Partner Type, Creative Size, Device Type"</formula1>
    </dataValidation>
    <dataValidation type="list" allowBlank="1" showInputMessage="1" showErrorMessage="1" sqref="X27" xr:uid="{00000000-0002-0000-0400-000003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AC1F70AB-DD8E-4FEC-9F1A-D4FCE42083F0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44.26953125" style="50" customWidth="1"/>
    <col min="4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3" t="s">
        <v>21</v>
      </c>
      <c r="C1" s="92"/>
      <c r="D1" s="13" t="s">
        <v>21</v>
      </c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6"/>
      <c r="C2" s="93"/>
      <c r="D2" s="16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6"/>
      <c r="C3" s="93"/>
      <c r="D3" s="16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6"/>
      <c r="C4" s="93"/>
      <c r="D4" s="16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6"/>
      <c r="C5" s="93"/>
      <c r="D5" s="16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94" t="s">
        <v>155</v>
      </c>
      <c r="D6" s="70" t="s">
        <v>155</v>
      </c>
      <c r="E6" s="70"/>
      <c r="F6" s="70"/>
      <c r="G6" s="253" t="s">
        <v>133</v>
      </c>
      <c r="H6" s="254"/>
      <c r="I6" s="255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27"/>
      <c r="B7" s="28"/>
      <c r="C7" s="95"/>
      <c r="D7" s="28"/>
      <c r="E7" s="28"/>
      <c r="F7" s="28"/>
      <c r="G7" s="256" t="s">
        <v>132</v>
      </c>
      <c r="H7" s="257"/>
      <c r="I7" s="258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96" t="str">
        <f ca="1">MID(CELL("filename",A1),FIND("]",CELL("filename",A1))+1,255)&amp;" Level Scorecard"</f>
        <v>Device Level Scorecard</v>
      </c>
      <c r="D8" s="70"/>
      <c r="E8" s="70"/>
      <c r="F8" s="70"/>
      <c r="G8" s="251" t="s">
        <v>132</v>
      </c>
      <c r="H8" s="252"/>
      <c r="I8" s="259"/>
      <c r="J8" s="127" t="s">
        <v>16</v>
      </c>
      <c r="K8" s="128">
        <f>VLOOKUP(K6,Benchmark_Legend[],MATCH(ColumnD[[#This Row],[Metric]],Benchmark_Legend[#Headers],0),0)</f>
        <v>0.7</v>
      </c>
      <c r="L8" s="128">
        <f>VLOOKUP(L6,Benchmark_Legend[],MATCH(ColumnD[[#This Row],[Metric]],Benchmark_Legend[#Headers],0),0)</f>
        <v>0.98</v>
      </c>
      <c r="M8" s="128">
        <f>VLOOKUP(M6,Benchmark_Legend[],MATCH(ColumnD[[#This Row],[Metric]],Benchmark_Legend[#Headers],0),0)</f>
        <v>0.95</v>
      </c>
      <c r="N8" s="128">
        <f>VLOOKUP(N6,Benchmark_Legend[],MATCH(ColumnD[[#This Row],[Metric]],Benchmark_Legend[#Headers],0),0)</f>
        <v>0.05</v>
      </c>
      <c r="O8" s="128">
        <f>VLOOKUP(O6,Benchmark_Legend[],MATCH(ColumnD[[#This Row],[Metric]],Benchmark_Legend[#Headers],0),0)</f>
        <v>0.02</v>
      </c>
      <c r="P8" s="128">
        <f>VLOOKUP(P6,Benchmark_Legend[],MATCH(ColumnD[[#This Row],[Metric]],Benchmark_Legend[#Headers],0),0)</f>
        <v>0.02</v>
      </c>
      <c r="Q8" s="128">
        <f>VLOOKUP(Q6,Benchmark_Legend[],MATCH(ColumnD[[#This Row],[Metric]],Benchmark_Legend[#Headers],0),0)</f>
        <v>0.01</v>
      </c>
      <c r="R8" s="128">
        <f>VLOOKUP(R6,Benchmark_Legend[],MATCH(ColumnD[[#This Row],[Metric]],Benchmark_Legend[#Headers],0),0)</f>
        <v>0.01</v>
      </c>
      <c r="S8" s="128">
        <f>VLOOKUP(S6,Benchmark_Legend[],MATCH(ColumnD[[#This Row],[Metric]],Benchmark_Legend[#Headers],0),0)</f>
        <v>0.01</v>
      </c>
      <c r="T8" s="128">
        <f>VLOOKUP(T6,Benchmark_Legend[],MATCH(ColumnD[[#This Row],[Metric]],Benchmark_Legend[#Headers],0),0)</f>
        <v>0.03</v>
      </c>
      <c r="U8" s="128">
        <f>VLOOKUP(U6,Benchmark_Legend[],MATCH(ColumnD[[#This Row],[Metric]],Benchmark_Legend[#Headers],0),0)</f>
        <v>0.55000000000000004</v>
      </c>
      <c r="V8" s="128">
        <f>VLOOKUP(V6,Benchmark_Legend[],MATCH(ColumnD[[#This Row],[Metric]],Benchmark_Legend[#Headers],0),0)</f>
        <v>0.6</v>
      </c>
      <c r="W8" s="128">
        <f>VLOOKUP(W6,Benchmark_Legend[],MATCH(ColumnD[[#This Row],[Metric]],Benchmark_Legend[#Headers],0),0)</f>
        <v>0.5</v>
      </c>
      <c r="X8" s="128">
        <f>VLOOKUP(X6,Benchmark_Legend[],MATCH(ColumnD[[#This Row],[Metric]],Benchmark_Legend[#Headers],0),0)</f>
        <v>0.35</v>
      </c>
      <c r="Y8" s="128">
        <f>VLOOKUP(Y6,Benchmark_Legend[],MATCH(ColumnD[[#This Row],[Metric]],Benchmark_Legend[#Headers],0),0)</f>
        <v>0.25</v>
      </c>
      <c r="Z8" s="128">
        <f>VLOOKUP(Z6,Benchmark_Legend[],MATCH(ColumnD[[#This Row],[Metric]],Benchmark_Legend[#Headers],0),0)</f>
        <v>0.35</v>
      </c>
      <c r="AA8" s="128">
        <f>VLOOKUP(AA6,Benchmark_Legend[],MATCH(ColumnD[[#This Row],[Metric]],Benchmark_Legend[#Headers],0),0)</f>
        <v>0.25</v>
      </c>
      <c r="AB8" s="26"/>
    </row>
    <row r="9" spans="1:121" s="18" customFormat="1" ht="15.65" customHeight="1" thickBot="1" x14ac:dyDescent="0.4">
      <c r="A9" s="83" t="e">
        <f>RIGHT(#REF!,7)</f>
        <v>#REF!</v>
      </c>
      <c r="B9" s="68" t="s">
        <v>154</v>
      </c>
      <c r="C9" s="130" t="s">
        <v>154</v>
      </c>
      <c r="D9" s="68"/>
      <c r="E9" s="68"/>
      <c r="F9" s="68"/>
      <c r="G9" s="121" t="s">
        <v>14</v>
      </c>
      <c r="H9" s="122"/>
      <c r="I9" s="123"/>
      <c r="J9" s="113" t="s">
        <v>130</v>
      </c>
      <c r="K9" s="100">
        <f t="array" aca="1" ref="K9" ca="1">SUM(
IF((DataD[Measured Rate 
'[% Measured']]&lt;&gt;"NULL"),
DataD[Measured Rate 
'[% Measured']]*
SUBTOTAL(9,OFFSET(DataD[Total Impressions],ROW(DataD[Total Impressions])-MIN(ROW(DataD[Total Impressions])),0,1))))
/
SUM(
IF((DataD[Measured Rate 
'[% Measured']]&lt;&gt;"NULL"),
SUBTOTAL(9,OFFSET(DataD[Total Impressions],ROW(DataD[Total Impressions])-MIN(ROW(DataD[Total Impressions])),0,1))))</f>
        <v>0.7</v>
      </c>
      <c r="L9" s="100">
        <f t="array" aca="1" ref="L9" ca="1">SUM(
IF((DataD[See-Through Rate 
'[% Visible']]&lt;&gt;"NULL"),
DataD[See-Through Rate 
'[% Visible']]*
SUBTOTAL(9,OFFSET(DataD[Total Impressions],ROW(DataD[Total Impressions])-MIN(ROW(DataD[Total Impressions])),0,1))))
/
SUM(
IF((DataD[See-Through Rate 
'[% Visible']]&lt;&gt;"NULL"),
SUBTOTAL(9,OFFSET(DataD[Total Impressions],ROW(DataD[Total Impressions])-MIN(ROW(DataD[Total Impressions])),0,1))))</f>
        <v>0.98</v>
      </c>
      <c r="M9" s="112">
        <f t="array" aca="1" ref="M9" ca="1">SUM(
IF((DataD[Brand Safety 
'[% Passed']]&lt;&gt;"NULL"),
DataD[Brand Safety 
'[% Passed']]*
SUBTOTAL(9,OFFSET(DataD[Total Impressions],ROW(DataD[Total Impressions])-MIN(ROW(DataD[Total Impressions])),0,1))))
/
SUM(
IF((DataD[Brand Safety 
'[% Passed']]&lt;&gt;"NULL"),
SUBTOTAL(9,OFFSET(DataD[Total Impressions],ROW(DataD[Total Impressions])-MIN(ROW(DataD[Total Impressions])),0,1))))</f>
        <v>0.95</v>
      </c>
      <c r="N9" s="112">
        <f t="array" aca="1" ref="N9" ca="1">SUM(
IF((DataD[Brand Safety 
'[% Failed']]&lt;&gt;"NULL"),
DataD[Brand Safety 
'[% Failed']]*
SUBTOTAL(9,OFFSET(DataD[Total Impressions],ROW(DataD[Total Impressions])-MIN(ROW(DataD[Total Impressions])),0,1))))
/
SUM(
IF((DataD[Brand Safety 
'[% Failed']]&lt;&gt;"NULL"),
SUBTOTAL(9,OFFSET(DataD[Total Impressions],ROW(DataD[Total Impressions])-MIN(ROW(DataD[Total Impressions])),0,1))))</f>
        <v>0.05</v>
      </c>
      <c r="O9" s="112">
        <f t="array" aca="1" ref="O9" ca="1">SUM(
IF((DataD[Brand Safety 
'[% Failed by Content']]&lt;&gt;"NULL"),
DataD[Brand Safety 
'[% Failed by Content']]*
SUBTOTAL(9,OFFSET(DataD[Total Impressions],ROW(DataD[Total Impressions])-MIN(ROW(DataD[Total Impressions])),0,1))))
/
SUM(
IF((DataD[Brand Safety 
'[% Failed by Content']]&lt;&gt;"NULL"),
SUBTOTAL(9,OFFSET(DataD[Total Impressions],ROW(DataD[Total Impressions])-MIN(ROW(DataD[Total Impressions])),0,1))))</f>
        <v>0.02</v>
      </c>
      <c r="P9" s="112">
        <f t="array" aca="1" ref="P9" ca="1">SUM(
IF((DataD[Brand Safety 
'[% Failed by Geo']]&lt;&gt;"NULL"),
DataD[Brand Safety 
'[% Failed by Geo']]*
SUBTOTAL(9,OFFSET(DataD[Total Impressions],ROW(DataD[Total Impressions])-MIN(ROW(DataD[Total Impressions])),0,1))))
/
SUM(
IF((DataD[Brand Safety 
'[% Failed by Geo']]&lt;&gt;"NULL"),
SUBTOTAL(9,OFFSET(DataD[Total Impressions],ROW(DataD[Total Impressions])-MIN(ROW(DataD[Total Impressions])),0,1))))</f>
        <v>0.02</v>
      </c>
      <c r="Q9" s="100">
        <f t="array" aca="1" ref="Q9" ca="1">SUM(
IF((DataD[Brand Safety 
'[% Failed by Keyword']]&lt;&gt;"NULL"),
DataD[Brand Safety 
'[% Failed by Keyword']]*
SUBTOTAL(9,OFFSET(DataD[Total Impressions],ROW(DataD[Total Impressions])-MIN(ROW(DataD[Total Impressions])),0,1))))
/
SUM(
IF((DataD[Brand Safety 
'[% Failed by Keyword']]&lt;&gt;"NULL"),
SUBTOTAL(9,OFFSET(DataD[Total Impressions],ROW(DataD[Total Impressions])-MIN(ROW(DataD[Total Impressions])),0,1))))</f>
        <v>0.01</v>
      </c>
      <c r="R9" s="100">
        <f t="array" aca="1" ref="R9" ca="1">SUM(
IF((DataD[Brand Safety 
'[% Failed by Blacklist']]&lt;&gt;"NULL"),
DataD[Brand Safety 
'[% Failed by Blacklist']]*
SUBTOTAL(9,OFFSET(DataD[Total Impressions],ROW(DataD[Total Impressions])-MIN(ROW(DataD[Total Impressions])),0,1))))
/
SUM(
IF((DataD[Brand Safety 
'[% Failed by Blacklist']]&lt;&gt;"NULL"),
SUBTOTAL(9,OFFSET(DataD[Total Impressions],ROW(DataD[Total Impressions])-MIN(ROW(DataD[Total Impressions])),0,1))))</f>
        <v>0.01</v>
      </c>
      <c r="S9" s="100">
        <f t="array" aca="1" ref="S9" ca="1">SUM(
IF((DataD[Brand Safety 
'[% Failed by Language']]&lt;&gt;"NULL"),
DataD[Brand Safety 
'[% Failed by Language']]*
SUBTOTAL(9,OFFSET(DataD[Total Impressions],ROW(DataD[Total Impressions])-MIN(ROW(DataD[Total Impressions])),0,1))))
/
SUM(
IF((DataD[Brand Safety 
'[% Failed by Language']]&lt;&gt;"NULL"),
SUBTOTAL(9,OFFSET(DataD[Total Impressions],ROW(DataD[Total Impressions])-MIN(ROW(DataD[Total Impressions])),0,1))))</f>
        <v>0.01</v>
      </c>
      <c r="T9" s="100">
        <f t="array" aca="1" ref="T9" ca="1">SUM(
IF((DataD[Fraud 
'[% Fraud']]&lt;&gt;"NULL"),
DataD[Fraud 
'[% Fraud']]*
SUBTOTAL(9,OFFSET(DataD[Total Impressions],ROW(DataD[Total Impressions])-MIN(ROW(DataD[Total Impressions])),0,1))))
/
SUM(
IF((DataD[Fraud 
'[% Fraud']]&lt;&gt;"NULL"),
SUBTOTAL(9,OFFSET(DataD[Total Impressions],ROW(DataD[Total Impressions])-MIN(ROW(DataD[Total Impressions])),0,1))))</f>
        <v>0.03</v>
      </c>
      <c r="U9" s="100">
        <f t="array" aca="1" ref="U9" ca="1">SUM(
IF((DataD[Viewability 
'[Total Viewable Rate (Total Net Metrics)']]&lt;&gt;"NULL"),
DataD[Viewability 
'[Total Viewable Rate (Total Net Metrics)']]*SUBTOTAL(9,OFFSET(DataD[Measured Impressions],ROW(DataD[Measured Impressions])-MIN(ROW(DataD[Measured Impressions])),0,1))))
/
SUM(
IF((DataD[Viewability 
'[Total Viewable Rate (Total Net Metrics)']]&lt;&gt;"NULL"),
SUBTOTAL(9,OFFSET(DataD[Measured Impressions],ROW(DataD[Measured Impressions])-MIN(ROW(DataD[Measured Impressions])),0,1))))</f>
        <v>0.55000000000000004</v>
      </c>
      <c r="V9" s="100">
        <f t="array" aca="1" ref="V9" ca="1">SUM(
IF((DataD[Display Viewability 
'[Total Viewable Rate (Total Net Metrics)']]&lt;&gt;"NULL"),
DataD[Display Viewability 
'[Total Viewable Rate (Total Net Metrics)']]*SUBTOTAL(9,OFFSET(DataD[Measured Impressions],ROW(DataD[Measured Impressions])-MIN(ROW(DataD[Measured Impressions])),0,1))))
/
SUM(
IF((DataD[Display Viewability 
'[Total Viewable Rate (Total Net Metrics)']]&lt;&gt;"NULL"),
SUBTOTAL(9,OFFSET(DataD[Measured Impressions],ROW(DataD[Measured Impressions])-MIN(ROW(DataD[Measured Impressions])),0,1))))</f>
        <v>0.6</v>
      </c>
      <c r="W9" s="112">
        <f t="array" aca="1" ref="W9" ca="1">SUM(
IF((DataD[Video Viewability 
'[Total Viewable Rate (Total Net Metrics)']]&lt;&gt;"NULL"),
DataD[Video Viewability 
'[Total Viewable Rate (Total Net Metrics)']]*SUBTOTAL(9,OFFSET(DataD[Measured Impressions],ROW(DataD[Measured Impressions])-MIN(ROW(DataD[Measured Impressions])),0,1))))
/
SUM(
IF((DataD[Video Viewability 
'[Total Viewable Rate (Total Net Metrics)']]&lt;&gt;"NULL"),
SUBTOTAL(9,OFFSET(DataD[Measured Impressions],ROW(DataD[Measured Impressions])-MIN(ROW(DataD[Measured Impressions])),0,1))))</f>
        <v>0.5</v>
      </c>
      <c r="X9" s="100">
        <f t="array" aca="1" ref="X9" ca="1">SUM(
IF((DataD[GroupM Viewability 
'[% Display Ads Fully in View']]&lt;&gt;"NULL"),
DataD[GroupM Viewability 
'[% Display Ads Fully in View']]*SUBTOTAL(9,OFFSET(DataD[Measured Impressions],ROW(DataD[Measured Impressions])-MIN(ROW(DataD[Measured Impressions])),0,1))))
/
SUM(
IF((DataD[GroupM Viewability 
'[% Display Ads Fully in View']]&lt;&gt;"NULL"),
SUBTOTAL(9,OFFSET(DataD[Measured Impressions],ROW(DataD[Measured Impressions])-MIN(ROW(DataD[Measured Impressions])),0,1))))</f>
        <v>0.35</v>
      </c>
      <c r="Y9" s="112">
        <f t="array" aca="1" ref="Y9" ca="1">SUM(
IF((DataD[GroupM Viewability 
'[% Videos Fully in View']]&lt;&gt;"NULL"),
DataD[GroupM Viewability 
'[% Videos Fully in View']]*SUBTOTAL(9,OFFSET(DataD[Measured Impressions],ROW(DataD[Measured Impressions])-MIN(ROW(DataD[Measured Impressions])),0,1))))
/
SUM(
IF((DataD[GroupM Viewability 
'[% Videos Fully in View']]&lt;&gt;"NULL"),
SUBTOTAL(9,OFFSET(DataD[Measured Impressions],ROW(DataD[Measured Impressions])-MIN(ROW(DataD[Measured Impressions])),0,1))))</f>
        <v>0.25</v>
      </c>
      <c r="Z9" s="100">
        <f t="array" aca="1" ref="Z9" ca="1">SUM(
IF((DataD[Publicis Viewability 
'[% Display Ads Fully in View']]&lt;&gt;"NULL"),
DataD[Publicis Viewability 
'[% Display Ads Fully in View']]*SUBTOTAL(9,OFFSET(DataD[Measured Impressions],ROW(DataD[Measured Impressions])-MIN(ROW(DataD[Measured Impressions])),0,1))))
/
SUM(
IF((DataD[Publicis Viewability 
'[% Display Ads Fully in View']]&lt;&gt;"NULL"),
SUBTOTAL(9,OFFSET(DataD[Measured Impressions],ROW(DataD[Measured Impressions])-MIN(ROW(DataD[Measured Impressions])),0,1))))</f>
        <v>0.35</v>
      </c>
      <c r="AA9" s="100">
        <f t="array" aca="1" ref="AA9" ca="1">SUM(
IF((DataD[Publicis Viewability 
'[% Videos Fully in View']]&lt;&gt;"NULL"),
DataD[Publicis Viewability 
'[% Videos Fully in View']]*SUBTOTAL(9,OFFSET(DataD[Measured Impressions],ROW(DataD[Measured Impressions])-MIN(ROW(DataD[Measured Impressions])),0,1))))
/
SUM(
IF((DataD[Publicis Viewability 
'[% Videos Fully in View']]&lt;&gt;"NULL"),
SUBTOTAL(9,OFFSET(DataD[Measured Impressions],ROW(DataD[Measured Impressions])-MIN(ROW(DataD[Measured Impressions])),0,1))))</f>
        <v>0.25</v>
      </c>
      <c r="AB9" s="26"/>
    </row>
    <row r="10" spans="1:121" s="18" customFormat="1" ht="15.75" hidden="1" customHeight="1" x14ac:dyDescent="0.35">
      <c r="A10" s="71"/>
      <c r="B10" s="68"/>
      <c r="C10" s="97"/>
      <c r="D10" s="68"/>
      <c r="E10" s="68"/>
      <c r="F10" s="68"/>
      <c r="G10" s="124" t="s">
        <v>14</v>
      </c>
      <c r="H10" s="124"/>
      <c r="I10" s="125"/>
      <c r="J10" s="102" t="s">
        <v>126</v>
      </c>
      <c r="K10" s="31">
        <f t="array" aca="1" ref="K10" ca="1">SUM(
IF(DataD[Measured Rate 
'[% Measured']]&lt;&gt;"NULL",
IF(DataD[Device Type]=ColumnD[[#This Row],[Metric]],
DataD[Measured Rate 
'[% Measured']]*
SUBTOTAL(9,OFFSET(DataD[Total Impressions],ROW(DataD[Total Impressions])-MIN(ROW(DataD[Total Impressions])),0,1)))))
/
SUM(
IF(DataD[Measured Rate 
'[% Measured']]&lt;&gt;"NULL",
IF(DataD[Device Type]=ColumnD[[#This Row],[Metric]],
SUBTOTAL(9,OFFSET(DataD[Total Impressions],ROW(DataD[Total Impressions])-MIN(ROW(DataD[Total Impressions])),0,1)))))</f>
        <v>0.7</v>
      </c>
      <c r="L10" s="32">
        <f t="array" aca="1" ref="L10" ca="1">SUM(
IF(DataD[See-Through Rate 
'[% Visible']]&lt;&gt;"NULL",
IF(DataD[Device Type]=ColumnD[[#This Row],[Metric]],
DataD[See-Through Rate 
'[% Visible']]*
SUBTOTAL(9,OFFSET(DataD[Total Impressions],ROW(DataD[Total Impressions])-MIN(ROW(DataD[Total Impressions])),0,1)))))
/
SUM(
IF(DataD[See-Through Rate 
'[% Visible']]&lt;&gt;"NULL",
IF(DataD[Device Type]=ColumnD[[#This Row],[Metric]],
SUBTOTAL(9,OFFSET(DataD[Total Impressions],ROW(DataD[Total Impressions])-MIN(ROW(DataD[Total Impressions])),0,1)))))</f>
        <v>0.98</v>
      </c>
      <c r="M10" s="32">
        <f t="array" aca="1" ref="M10" ca="1">SUM(
IF(DataD[Brand Safety 
'[% Passed']]&lt;&gt;"NULL",
IF(DataD[Device Type]=ColumnD[[#This Row],[Metric]],
DataD[Brand Safety 
'[% Passed']]*
SUBTOTAL(9,OFFSET(DataD[Total Impressions],ROW(DataD[Total Impressions])-MIN(ROW(DataD[Total Impressions])),0,1)))))
/
SUM(
IF(DataD[Brand Safety 
'[% Passed']]&lt;&gt;"NULL",
IF(DataD[Device Type]=ColumnD[[#This Row],[Metric]],
SUBTOTAL(9,OFFSET(DataD[Total Impressions],ROW(DataD[Total Impressions])-MIN(ROW(DataD[Total Impressions])),0,1)))))</f>
        <v>0.95</v>
      </c>
      <c r="N10" s="32">
        <f t="array" aca="1" ref="N10" ca="1">SUM(
IF(DataD[Brand Safety 
'[% Failed']]&lt;&gt;"NULL",
IF(DataD[Device Type]=ColumnD[[#This Row],[Metric]],
DataD[Brand Safety 
'[% Failed']]*
SUBTOTAL(9,OFFSET(DataD[Total Impressions],ROW(DataD[Total Impressions])-MIN(ROW(DataD[Total Impressions])),0,1)))))
/
SUM(
IF(DataD[Brand Safety 
'[% Failed']]&lt;&gt;"NULL",
IF(DataD[Device Type]=ColumnD[[#This Row],[Metric]],
SUBTOTAL(9,OFFSET(DataD[Total Impressions],ROW(DataD[Total Impressions])-MIN(ROW(DataD[Total Impressions])),0,1)))))</f>
        <v>0.05</v>
      </c>
      <c r="O10" s="32">
        <f t="array" aca="1" ref="O10" ca="1">SUM(
IF(DataD[Brand Safety 
'[% Failed by Content']]&lt;&gt;"NULL",
IF(DataD[Device Type]=ColumnD[[#This Row],[Metric]],
DataD[Brand Safety 
'[% Failed by Content']]*
SUBTOTAL(9,OFFSET(DataD[Total Impressions],ROW(DataD[Total Impressions])-MIN(ROW(DataD[Total Impressions])),0,1)))))
/
SUM(
IF(DataD[Brand Safety 
'[% Failed by Content']]&lt;&gt;"NULL",
IF(DataD[Device Type]=ColumnD[[#This Row],[Metric]],
SUBTOTAL(9,OFFSET(DataD[Total Impressions],ROW(DataD[Total Impressions])-MIN(ROW(DataD[Total Impressions])),0,1)))))</f>
        <v>0.02</v>
      </c>
      <c r="P10" s="32">
        <f t="array" aca="1" ref="P10" ca="1">SUM(
IF(DataD[Brand Safety 
'[% Failed by Geo']]&lt;&gt;"NULL",
IF(DataD[Device Type]=ColumnD[[#This Row],[Metric]],
DataD[Brand Safety 
'[% Failed by Geo']]*
SUBTOTAL(9,OFFSET(DataD[Total Impressions],ROW(DataD[Total Impressions])-MIN(ROW(DataD[Total Impressions])),0,1)))))
/
SUM(
IF(DataD[Brand Safety 
'[% Failed by Geo']]&lt;&gt;"NULL",
IF(DataD[Device Type]=ColumnD[[#This Row],[Metric]],
SUBTOTAL(9,OFFSET(DataD[Total Impressions],ROW(DataD[Total Impressions])-MIN(ROW(DataD[Total Impressions])),0,1)))))</f>
        <v>0.02</v>
      </c>
      <c r="Q10" s="32">
        <f t="array" aca="1" ref="Q10" ca="1">SUM(
IF(DataD[Brand Safety 
'[% Failed by Keyword']]&lt;&gt;"NULL",
IF(DataD[Device Type]=ColumnD[[#This Row],[Metric]],
DataD[Brand Safety 
'[% Failed by Keyword']]*
SUBTOTAL(9,OFFSET(DataD[Total Impressions],ROW(DataD[Total Impressions])-MIN(ROW(DataD[Total Impressions])),0,1)))))
/
SUM(
IF(DataD[Brand Safety 
'[% Failed by Keyword']]&lt;&gt;"NULL",
IF(DataD[Device Type]=ColumnD[[#This Row],[Metric]],
SUBTOTAL(9,OFFSET(DataD[Total Impressions],ROW(DataD[Total Impressions])-MIN(ROW(DataD[Total Impressions])),0,1)))))</f>
        <v>0.01</v>
      </c>
      <c r="R10" s="32">
        <f t="array" aca="1" ref="R10" ca="1">SUM(
IF(DataD[Brand Safety 
'[% Failed by Blacklist']]&lt;&gt;"NULL",
IF(DataD[Device Type]=ColumnD[[#This Row],[Metric]],
DataD[Brand Safety 
'[% Failed by Blacklist']]*
SUBTOTAL(9,OFFSET(DataD[Total Impressions],ROW(DataD[Total Impressions])-MIN(ROW(DataD[Total Impressions])),0,1)))))
/
SUM(
IF(DataD[Brand Safety 
'[% Failed by Blacklist']]&lt;&gt;"NULL",
IF(DataD[Device Type]=ColumnD[[#This Row],[Metric]],
SUBTOTAL(9,OFFSET(DataD[Total Impressions],ROW(DataD[Total Impressions])-MIN(ROW(DataD[Total Impressions])),0,1)))))</f>
        <v>0.01</v>
      </c>
      <c r="S10" s="32">
        <f t="array" aca="1" ref="S10" ca="1">SUM(
IF(DataD[Brand Safety 
'[% Failed by Language']]&lt;&gt;"NULL",
IF(DataD[Device Type]=ColumnD[[#This Row],[Metric]],
DataD[Brand Safety 
'[% Failed by Language']]*
SUBTOTAL(9,OFFSET(DataD[Total Impressions],ROW(DataD[Total Impressions])-MIN(ROW(DataD[Total Impressions])),0,1)))))
/
SUM(
IF(DataD[Brand Safety 
'[% Failed by Language']]&lt;&gt;"NULL",
IF(DataD[Device Type]=ColumnD[[#This Row],[Metric]],
SUBTOTAL(9,OFFSET(DataD[Total Impressions],ROW(DataD[Total Impressions])-MIN(ROW(DataD[Total Impressions])),0,1)))))</f>
        <v>0.01</v>
      </c>
      <c r="T10" s="32">
        <f t="array" aca="1" ref="T10" ca="1">SUM(
IF(DataD[Fraud 
'[% Fraud']]&lt;&gt;"NULL",
IF(DataD[Device Type]=ColumnD[[#This Row],[Metric]],
DataD[Fraud 
'[% Fraud']]*
SUBTOTAL(9,OFFSET(DataD[Total Impressions],ROW(DataD[Total Impressions])-MIN(ROW(DataD[Total Impressions])),0,1)))))
/
SUM(
IF(DataD[Fraud 
'[% Fraud']]&lt;&gt;"NULL",
IF(DataD[Device Type]=ColumnD[[#This Row],[Metric]],
SUBTOTAL(9,OFFSET(DataD[Total Impressions],ROW(DataD[Total Impressions])-MIN(ROW(DataD[Total Impressions])),0,1)))))</f>
        <v>0.03</v>
      </c>
      <c r="U10" s="32">
        <f t="array" aca="1" ref="U10" ca="1">SUM(
IF(DataD[Viewability 
'[Total Viewable Rate (Total Net Metrics)']]&lt;&gt;"NULL",
IF(DataD[Device Type]=ColumnD[[#This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IF(DataD[Device Type]=ColumnD[[#This Row],[Metric]],
SUBTOTAL(9,OFFSET(DataD[Total Impressions],ROW(DataD[Total Impressions])-MIN(ROW(DataD[Total Impressions])),0,1)))))</f>
        <v>0.55000000000000004</v>
      </c>
      <c r="V10" s="32">
        <f t="array" aca="1" ref="V10" ca="1">SUM(
IF(DataD[Display Viewability 
'[Total Viewable Rate (Total Net Metrics)']]&lt;&gt;"NULL",
IF(DataD[Device Type]=ColumnD[[#This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IF(DataD[Device Type]=ColumnD[[#This Row],[Metric]],
SUBTOTAL(9,OFFSET(DataD[Total Impressions],ROW(DataD[Total Impressions])-MIN(ROW(DataD[Total Impressions])),0,1)))))</f>
        <v>0.59999999999999987</v>
      </c>
      <c r="W10" s="32">
        <f t="array" aca="1" ref="W10" ca="1">SUM(
IF(DataD[Video Viewability 
'[Total Viewable Rate (Total Net Metrics)']]&lt;&gt;"NULL",
IF(DataD[Device Type]=ColumnD[[#This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IF(DataD[Device Type]=ColumnD[[#This Row],[Metric]],
SUBTOTAL(9,OFFSET(DataD[Total Impressions],ROW(DataD[Total Impressions])-MIN(ROW(DataD[Total Impressions])),0,1)))))</f>
        <v>0.5</v>
      </c>
      <c r="X10" s="32">
        <f t="array" aca="1" ref="X10" ca="1">SUM(
IF(DataD[GroupM Viewability 
'[% Display Ads Fully in View']]&lt;&gt;"NULL",
IF(DataD[Device Type]=ColumnD[[#This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IF(DataD[Device Type]=ColumnD[[#This Row],[Metric]],
SUBTOTAL(9,OFFSET(DataD[Total Impressions],ROW(DataD[Total Impressions])-MIN(ROW(DataD[Total Impressions])),0,1)))))</f>
        <v>0.35</v>
      </c>
      <c r="Y10" s="32">
        <f t="array" aca="1" ref="Y10" ca="1">SUM(
IF(DataD[GroupM Viewability 
'[% Videos Fully in View']]&lt;&gt;"NULL",
IF(DataD[Device Type]=ColumnD[[#This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IF(DataD[Device Type]=ColumnD[[#This Row],[Metric]],
SUBTOTAL(9,OFFSET(DataD[Total Impressions],ROW(DataD[Total Impressions])-MIN(ROW(DataD[Total Impressions])),0,1)))))</f>
        <v>0.25</v>
      </c>
      <c r="Z10" s="32">
        <f t="array" aca="1" ref="Z10" ca="1">SUM(
IF(DataD[Publicis Viewability 
'[% Display Ads Fully in View']]&lt;&gt;"NULL",
IF(DataD[Device Type]=ColumnD[[#This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IF(DataD[Device Type]=ColumnD[[#This Row],[Metric]],
SUBTOTAL(9,OFFSET(DataD[Total Impressions],ROW(DataD[Total Impressions])-MIN(ROW(DataD[Total Impressions])),0,1)))))</f>
        <v>0.35</v>
      </c>
      <c r="AA10" s="32">
        <f t="array" aca="1" ref="AA10" ca="1">SUM(
IF(DataD[Publicis Viewability 
'[% Videos Fully in View']]&lt;&gt;"NULL",
IF(DataD[Device Type]=ColumnD[[#This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IF(DataD[Device Type]=ColumnD[[#This Row],[Metric]],
SUBTOTAL(9,OFFSET(DataD[Total Impressions],ROW(DataD[Total Impressions])-MIN(ROW(DataD[Total Impressions])),0,1)))))</f>
        <v>0.25</v>
      </c>
      <c r="AB10" s="26"/>
    </row>
    <row r="11" spans="1:121" s="18" customFormat="1" ht="16.5" hidden="1" customHeight="1" x14ac:dyDescent="0.35">
      <c r="A11" s="71"/>
      <c r="B11" s="68"/>
      <c r="C11" s="97"/>
      <c r="D11" s="68"/>
      <c r="E11" s="68"/>
      <c r="F11" s="68"/>
      <c r="G11" s="124" t="s">
        <v>14</v>
      </c>
      <c r="H11" s="124"/>
      <c r="I11" s="125"/>
      <c r="J11" s="102" t="s">
        <v>140</v>
      </c>
      <c r="K11" s="31" t="e">
        <f t="array" aca="1" ref="K11" ca="1">SUM(
IF(DataD[Measured Rate 
'[% Measured']]&lt;&gt;"NULL",
IF(DataD[NO MAPPING]=ColumnD[[#This Row],[Metric]],
DataD[Measured Rate 
'[% Measured']]*
SUBTOTAL(9,OFFSET(DataD[Total Impressions],ROW(DataD[Total Impressions])-MIN(ROW(DataD[Total Impressions])),0,1)))))
/
SUM(
IF(DataD[Measured Rate 
'[% Measured']]&lt;&gt;"NULL",
IF(DataD[NO MAPPING]=ColumnD[[#This Row],[Metric]],
SUBTOTAL(9,OFFSET(DataD[Total Impressions],ROW(DataD[Total Impressions])-MIN(ROW(DataD[Total Impressions])),0,1)))))</f>
        <v>#DIV/0!</v>
      </c>
      <c r="L11" s="32" t="e">
        <f t="array" aca="1" ref="L11" ca="1">SUM(
IF(DataD[See-Through Rate 
'[% Visible']]&lt;&gt;"NULL",
IF(DataD[NO MAPPING]=ColumnD[[#This Row],[Metric]],
DataD[See-Through Rate 
'[% Visible']]*
SUBTOTAL(9,OFFSET(DataD[Total Impressions],ROW(DataD[Total Impressions])-MIN(ROW(DataD[Total Impressions])),0,1)))))
/
SUM(
IF(DataD[See-Through Rate 
'[% Visible']]&lt;&gt;"NULL",
IF(DataD[NO MAPPING]=ColumnD[[#This Row],[Metric]],
SUBTOTAL(9,OFFSET(DataD[Total Impressions],ROW(DataD[Total Impressions])-MIN(ROW(DataD[Total Impressions])),0,1)))))</f>
        <v>#DIV/0!</v>
      </c>
      <c r="M11" s="32" t="e">
        <f t="array" aca="1" ref="M11" ca="1">SUM(
IF(DataD[Brand Safety 
'[% Passed']]&lt;&gt;"NULL",
IF(DataD[NO MAPPING]=ColumnD[[#This Row],[Metric]],
DataD[Brand Safety 
'[% Passed']]*
SUBTOTAL(9,OFFSET(DataD[Total Impressions],ROW(DataD[Total Impressions])-MIN(ROW(DataD[Total Impressions])),0,1)))))
/
SUM(
IF(DataD[Brand Safety 
'[% Passed']]&lt;&gt;"NULL",
IF(DataD[NO MAPPING]=ColumnD[[#This Row],[Metric]],
SUBTOTAL(9,OFFSET(DataD[Total Impressions],ROW(DataD[Total Impressions])-MIN(ROW(DataD[Total Impressions])),0,1)))))</f>
        <v>#DIV/0!</v>
      </c>
      <c r="N11" s="32" t="e">
        <f t="array" aca="1" ref="N11" ca="1">SUM(
IF(DataD[Brand Safety 
'[% Failed']]&lt;&gt;"NULL",
IF(DataD[NO MAPPING]=ColumnD[[#This Row],[Metric]],
DataD[Brand Safety 
'[% Failed']]*
SUBTOTAL(9,OFFSET(DataD[Total Impressions],ROW(DataD[Total Impressions])-MIN(ROW(DataD[Total Impressions])),0,1)))))
/
SUM(
IF(DataD[Brand Safety 
'[% Failed']]&lt;&gt;"NULL",
IF(DataD[NO MAPPING]=ColumnD[[#This Row],[Metric]],
SUBTOTAL(9,OFFSET(DataD[Total Impressions],ROW(DataD[Total Impressions])-MIN(ROW(DataD[Total Impressions])),0,1)))))</f>
        <v>#DIV/0!</v>
      </c>
      <c r="O11" s="32" t="e">
        <f t="array" aca="1" ref="O11" ca="1">SUM(
IF(DataD[Brand Safety 
'[% Failed by Content']]&lt;&gt;"NULL",
IF(DataD[NO MAPPING]=ColumnD[[#This Row],[Metric]],
DataD[Brand Safety 
'[% Failed by Content']]*
SUBTOTAL(9,OFFSET(DataD[Total Impressions],ROW(DataD[Total Impressions])-MIN(ROW(DataD[Total Impressions])),0,1)))))
/
SUM(
IF(DataD[Brand Safety 
'[% Failed by Content']]&lt;&gt;"NULL",
IF(DataD[NO MAPPING]=ColumnD[[#This Row],[Metric]],
SUBTOTAL(9,OFFSET(DataD[Total Impressions],ROW(DataD[Total Impressions])-MIN(ROW(DataD[Total Impressions])),0,1)))))</f>
        <v>#DIV/0!</v>
      </c>
      <c r="P11" s="32" t="e">
        <f t="array" aca="1" ref="P11" ca="1">SUM(
IF(DataD[Brand Safety 
'[% Failed by Geo']]&lt;&gt;"NULL",
IF(DataD[NO MAPPING]=ColumnD[[#This Row],[Metric]],
DataD[Brand Safety 
'[% Failed by Geo']]*
SUBTOTAL(9,OFFSET(DataD[Total Impressions],ROW(DataD[Total Impressions])-MIN(ROW(DataD[Total Impressions])),0,1)))))
/
SUM(
IF(DataD[Brand Safety 
'[% Failed by Geo']]&lt;&gt;"NULL",
IF(DataD[NO MAPPING]=ColumnD[[#This Row],[Metric]],
SUBTOTAL(9,OFFSET(DataD[Total Impressions],ROW(DataD[Total Impressions])-MIN(ROW(DataD[Total Impressions])),0,1)))))</f>
        <v>#DIV/0!</v>
      </c>
      <c r="Q11" s="32" t="e">
        <f t="array" aca="1" ref="Q11" ca="1">SUM(
IF(DataD[Brand Safety 
'[% Failed by Keyword']]&lt;&gt;"NULL",
IF(DataD[NO MAPPING]=ColumnD[[#This Row],[Metric]],
DataD[Brand Safety 
'[% Failed by Keyword']]*
SUBTOTAL(9,OFFSET(DataD[Total Impressions],ROW(DataD[Total Impressions])-MIN(ROW(DataD[Total Impressions])),0,1)))))
/
SUM(
IF(DataD[Brand Safety 
'[% Failed by Keyword']]&lt;&gt;"NULL",
IF(DataD[NO MAPPING]=ColumnD[[#This Row],[Metric]],
SUBTOTAL(9,OFFSET(DataD[Total Impressions],ROW(DataD[Total Impressions])-MIN(ROW(DataD[Total Impressions])),0,1)))))</f>
        <v>#DIV/0!</v>
      </c>
      <c r="R11" s="32" t="e">
        <f t="array" aca="1" ref="R11" ca="1">SUM(
IF(DataD[Brand Safety 
'[% Failed by Blacklist']]&lt;&gt;"NULL",
IF(DataD[NO MAPPING]=ColumnD[[#This Row],[Metric]],
DataD[Brand Safety 
'[% Failed by Blacklist']]*
SUBTOTAL(9,OFFSET(DataD[Total Impressions],ROW(DataD[Total Impressions])-MIN(ROW(DataD[Total Impressions])),0,1)))))
/
SUM(
IF(DataD[Brand Safety 
'[% Failed by Blacklist']]&lt;&gt;"NULL",
IF(DataD[NO MAPPING]=ColumnD[[#This Row],[Metric]],
SUBTOTAL(9,OFFSET(DataD[Total Impressions],ROW(DataD[Total Impressions])-MIN(ROW(DataD[Total Impressions])),0,1)))))</f>
        <v>#DIV/0!</v>
      </c>
      <c r="S11" s="32" t="e">
        <f t="array" aca="1" ref="S11" ca="1">SUM(
IF(DataD[Brand Safety 
'[% Failed by Language']]&lt;&gt;"NULL",
IF(DataD[NO MAPPING]=ColumnD[[#This Row],[Metric]],
DataD[Brand Safety 
'[% Failed by Language']]*
SUBTOTAL(9,OFFSET(DataD[Total Impressions],ROW(DataD[Total Impressions])-MIN(ROW(DataD[Total Impressions])),0,1)))))
/
SUM(
IF(DataD[Brand Safety 
'[% Failed by Language']]&lt;&gt;"NULL",
IF(DataD[NO MAPPING]=ColumnD[[#This Row],[Metric]],
SUBTOTAL(9,OFFSET(DataD[Total Impressions],ROW(DataD[Total Impressions])-MIN(ROW(DataD[Total Impressions])),0,1)))))</f>
        <v>#DIV/0!</v>
      </c>
      <c r="T11" s="32" t="e">
        <f t="array" aca="1" ref="T11" ca="1">SUM(
IF(DataD[Fraud 
'[% Fraud']]&lt;&gt;"NULL",
IF(DataD[NO MAPPING]=ColumnD[[#This Row],[Metric]],
DataD[Fraud 
'[% Fraud']]*
SUBTOTAL(9,OFFSET(DataD[Total Impressions],ROW(DataD[Total Impressions])-MIN(ROW(DataD[Total Impressions])),0,1)))))
/
SUM(
IF(DataD[Fraud 
'[% Fraud']]&lt;&gt;"NULL",
IF(DataD[NO MAPPING]=ColumnD[[#This Row],[Metric]],
SUBTOTAL(9,OFFSET(DataD[Total Impressions],ROW(DataD[Total Impressions])-MIN(ROW(DataD[Total Impressions])),0,1)))))</f>
        <v>#DIV/0!</v>
      </c>
      <c r="U11" s="32" t="e">
        <f t="array" aca="1" ref="U11" ca="1">SUM(
IF(DataD[Viewability 
'[Total Viewable Rate (Total Net Metrics)']]&lt;&gt;"NULL",
IF(DataD[NO MAPPING]=ColumnD[[#This Row],[Metric]],
DataD[Viewability 
'[Total Viewable Rate (Total Net Metrics)']]*
SUBTOTAL(9,OFFSET(DataD[Total Impressions],ROW(DataD[Total Impressions])-MIN(ROW(DataD[Total Impressions])),0,1)))))
/
SUM(
IF(DataD[Viewability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V11" s="32" t="e">
        <f t="array" aca="1" ref="V11" ca="1">SUM(
IF(DataD[Display Viewability 
'[Total Viewable Rate (Total Net Metrics)']]&lt;&gt;"NULL",
IF(DataD[NO MAPPING]=ColumnD[[#This Row],[Metric]],
DataD[Display Viewability 
'[Total Viewable Rate (Total Net Metrics)']]*
SUBTOTAL(9,OFFSET(DataD[Total Impressions],ROW(DataD[Total Impressions])-MIN(ROW(DataD[Total Impressions])),0,1)))))
/
SUM(
IF(DataD[Display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W11" s="32" t="e">
        <f t="array" aca="1" ref="W11" ca="1">SUM(
IF(DataD[Video Viewability 
'[Total Viewable Rate (Total Net Metrics)']]&lt;&gt;"NULL",
IF(DataD[NO MAPPING]=ColumnD[[#This Row],[Metric]],
DataD[Video Viewability 
'[Total Viewable Rate (Total Net Metrics)']]*
SUBTOTAL(9,OFFSET(DataD[Total Impressions],ROW(DataD[Total Impressions])-MIN(ROW(DataD[Total Impressions])),0,1)))))
/
SUM(
IF(DataD[Video Viewability 
'[Total Viewable Rate (Total Net Metrics)']]&lt;&gt;"NULL",
IF(DataD[NO MAPPING]=ColumnD[[#This Row],[Metric]],
SUBTOTAL(9,OFFSET(DataD[Total Impressions],ROW(DataD[Total Impressions])-MIN(ROW(DataD[Total Impressions])),0,1)))))</f>
        <v>#DIV/0!</v>
      </c>
      <c r="X11" s="32" t="e">
        <f t="array" aca="1" ref="X11" ca="1">SUM(
IF(DataD[GroupM Viewability 
'[% Display Ads Fully in View']]&lt;&gt;"NULL",
IF(DataD[NO MAPPING]=ColumnD[[#This Row],[Metric]],
DataD[GroupM Viewability 
'[% Display Ads Fully in View']]*
SUBTOTAL(9,OFFSET(DataD[Total Impressions],ROW(DataD[Total Impressions])-MIN(ROW(DataD[Total Impressions])),0,1)))))
/
SUM(
IF(DataD[GroupM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Y11" s="32" t="e">
        <f t="array" aca="1" ref="Y11" ca="1">SUM(
IF(DataD[GroupM Viewability 
'[% Videos Fully in View']]&lt;&gt;"NULL",
IF(DataD[NO MAPPING]=ColumnD[[#This Row],[Metric]],
DataD[GroupM Viewability 
'[% Videos Fully in View']]*
SUBTOTAL(9,OFFSET(DataD[Total Impressions],ROW(DataD[Total Impressions])-MIN(ROW(DataD[Total Impressions])),0,1)))))
/
SUM(
IF(DataD[GroupM Viewability 
'[% Videos Fully in View']]&lt;&gt;"NULL",
IF(DataD[NO MAPPING]=ColumnD[[#This Row],[Metric]],
SUBTOTAL(9,OFFSET(DataD[Total Impressions],ROW(DataD[Total Impressions])-MIN(ROW(DataD[Total Impressions])),0,1)))))</f>
        <v>#DIV/0!</v>
      </c>
      <c r="Z11" s="32" t="e">
        <f t="array" aca="1" ref="Z11" ca="1">SUM(
IF(DataD[Publicis Viewability 
'[% Display Ads Fully in View']]&lt;&gt;"NULL",
IF(DataD[NO MAPPING]=ColumnD[[#This Row],[Metric]],
DataD[Publicis Viewability 
'[% Display Ads Fully in View']]*
SUBTOTAL(9,OFFSET(DataD[Total Impressions],ROW(DataD[Total Impressions])-MIN(ROW(DataD[Total Impressions])),0,1)))))
/
SUM(
IF(DataD[Publicis Viewability 
'[% Display Ads Fully in View']]&lt;&gt;"NULL",
IF(DataD[NO MAPPING]=ColumnD[[#This Row],[Metric]],
SUBTOTAL(9,OFFSET(DataD[Total Impressions],ROW(DataD[Total Impressions])-MIN(ROW(DataD[Total Impressions])),0,1)))))</f>
        <v>#DIV/0!</v>
      </c>
      <c r="AA11" s="32" t="e">
        <f t="array" aca="1" ref="AA11" ca="1">SUM(
IF(DataD[Publicis Viewability 
'[% Videos Fully in View']]&lt;&gt;"NULL",
IF(DataD[NO MAPPING]=ColumnD[[#This Row],[Metric]],
DataD[Publicis Viewability 
'[% Videos Fully in View']]*
SUBTOTAL(9,OFFSET(DataD[Total Impressions],ROW(DataD[Total Impressions])-MIN(ROW(DataD[Total Impressions])),0,1)))))
/
SUM(
IF(DataD[Publicis Viewability 
'[% Videos Fully in View']]&lt;&gt;"NULL",
IF(DataD[NO MAPPING]=ColumnD[[#This Row],[Metric]],
SUBTOTAL(9,OFFSET(DataD[Total Impressions],ROW(DataD[Total Impressions])-MIN(ROW(DataD[Total Impressions])),0,1)))))</f>
        <v>#DIV/0!</v>
      </c>
      <c r="AB11" s="26"/>
    </row>
    <row r="12" spans="1:121" s="18" customFormat="1" ht="16.5" hidden="1" customHeight="1" x14ac:dyDescent="0.35">
      <c r="A12" s="27"/>
      <c r="B12" s="28"/>
      <c r="C12" s="98"/>
      <c r="D12" s="28"/>
      <c r="E12" s="28"/>
      <c r="F12" s="28"/>
      <c r="G12" s="250" t="s">
        <v>8</v>
      </c>
      <c r="H12" s="250"/>
      <c r="I12" s="260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28"/>
      <c r="C13" s="98"/>
      <c r="D13" s="28"/>
      <c r="E13" s="28"/>
      <c r="F13" s="28"/>
      <c r="G13" s="250" t="s">
        <v>8</v>
      </c>
      <c r="H13" s="250"/>
      <c r="I13" s="260"/>
      <c r="J13" s="104" t="s">
        <v>6</v>
      </c>
      <c r="K13" s="105">
        <v>0</v>
      </c>
      <c r="L13" s="105">
        <v>0</v>
      </c>
      <c r="M13" s="105">
        <v>0</v>
      </c>
      <c r="N13" s="105">
        <v>0</v>
      </c>
      <c r="O13" s="105">
        <v>0</v>
      </c>
      <c r="P13" s="105">
        <v>0</v>
      </c>
      <c r="Q13" s="105">
        <v>0</v>
      </c>
      <c r="R13" s="105">
        <v>0</v>
      </c>
      <c r="S13" s="105">
        <v>0</v>
      </c>
      <c r="T13" s="105">
        <v>0</v>
      </c>
      <c r="U13" s="105">
        <v>0</v>
      </c>
      <c r="V13" s="105">
        <v>0</v>
      </c>
      <c r="W13" s="105">
        <v>0</v>
      </c>
      <c r="X13" s="105">
        <v>0</v>
      </c>
      <c r="Y13" s="105">
        <v>0</v>
      </c>
      <c r="Z13" s="105">
        <v>1</v>
      </c>
      <c r="AA13" s="105">
        <v>0</v>
      </c>
      <c r="AB13" s="26"/>
    </row>
    <row r="14" spans="1:121" s="18" customFormat="1" ht="15.75" customHeight="1" thickBot="1" x14ac:dyDescent="0.4">
      <c r="B14" s="72" t="s">
        <v>21</v>
      </c>
      <c r="C14" s="99"/>
      <c r="D14" s="72" t="s">
        <v>21</v>
      </c>
      <c r="E14" s="72" t="s">
        <v>21</v>
      </c>
      <c r="F14" s="72" t="s">
        <v>21</v>
      </c>
      <c r="G14" s="55"/>
      <c r="H14" s="35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152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IF(DataD[[#This Row],[Team]]&lt;&gt;"","N/A","")</f>
        <v>N/A</v>
      </c>
      <c r="C16" s="46" t="s">
        <v>10</v>
      </c>
      <c r="D16" s="46" t="s">
        <v>10</v>
      </c>
      <c r="E16" s="46" t="s">
        <v>10</v>
      </c>
      <c r="F16" s="46" t="s">
        <v>10</v>
      </c>
      <c r="G16" s="46" t="s">
        <v>126</v>
      </c>
      <c r="H16" s="46" t="s">
        <v>10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5">
    <mergeCell ref="G6:I6"/>
    <mergeCell ref="G7:I7"/>
    <mergeCell ref="G8:I8"/>
    <mergeCell ref="G13:I13"/>
    <mergeCell ref="G12:I12"/>
  </mergeCells>
  <conditionalFormatting sqref="K16:AA16">
    <cfRule type="cellIs" dxfId="250" priority="8" operator="equal">
      <formula>""</formula>
    </cfRule>
  </conditionalFormatting>
  <conditionalFormatting sqref="A1:XFD6 A8:XFD1048576 A7:J7 AB7:XFD7">
    <cfRule type="expression" dxfId="249" priority="7">
      <formula>ISERROR(A1)</formula>
    </cfRule>
  </conditionalFormatting>
  <conditionalFormatting sqref="K16:AA16 K9:AA11">
    <cfRule type="expression" dxfId="248" priority="10">
      <formula>IF(K$7="N/A",0,IF(K$7="Above",K9&lt;=(1-$J$4)*K$8,K9&gt;=(1+$J$4)*K$8))</formula>
    </cfRule>
    <cfRule type="expression" dxfId="247" priority="11">
      <formula>IF(OR(K$7="N/A",K9=0),0,IF(K$7="Above",K9&gt;=(1+$J$3)*K$8,K9&lt;=(1-$J$3)*K$8))</formula>
    </cfRule>
  </conditionalFormatting>
  <conditionalFormatting sqref="K7:AA7">
    <cfRule type="expression" dxfId="246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G9:G11 AB12:XFD13 J11 A13" xr:uid="{00000000-0002-0000-0500-000000000000}"/>
    <dataValidation type="list" allowBlank="1" showInputMessage="1" showErrorMessage="1" errorTitle="Invalid Entry" error="Please select/enter a value from 1 to 5 from the dropdown." sqref="J10" xr:uid="{00000000-0002-0000-05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500-000002000000}">
      <formula1>"0,1,2,3,4,5"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500-000004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500-000005000000}"/>
    <dataValidation allowBlank="1" showInputMessage="1" showErrorMessage="1" prompt="Cell will highlight red if performance deviates by more than this percentage of the client goal." sqref="J4" xr:uid="{00000000-0002-0000-0500-000006000000}"/>
    <dataValidation type="list" allowBlank="1" showInputMessage="1" showErrorMessage="1" sqref="X27" xr:uid="{00000000-0002-0000-0500-000003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9FAD5BF-0D0A-4481-B86D-3B471B562727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30.453125" style="50" hidden="1" customWidth="1"/>
    <col min="4" max="4" width="49.453125" style="50" customWidth="1"/>
    <col min="5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2"/>
      <c r="C1" s="12"/>
      <c r="D1" s="11"/>
      <c r="E1" s="13" t="s">
        <v>21</v>
      </c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2"/>
      <c r="C2" s="12"/>
      <c r="D2" s="11"/>
      <c r="E2" s="16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2"/>
      <c r="C3" s="12"/>
      <c r="D3" s="11"/>
      <c r="E3" s="16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2"/>
      <c r="C4" s="12"/>
      <c r="D4" s="11"/>
      <c r="E4" s="16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2"/>
      <c r="C5" s="12"/>
      <c r="D5" s="11"/>
      <c r="E5" s="16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80" t="s">
        <v>155</v>
      </c>
      <c r="C6" s="80"/>
      <c r="D6" s="80" t="s">
        <v>155</v>
      </c>
      <c r="E6" s="70"/>
      <c r="F6" s="70"/>
      <c r="G6" s="264" t="s">
        <v>133</v>
      </c>
      <c r="H6" s="265"/>
      <c r="I6" s="26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</row>
    <row r="7" spans="1:121" s="18" customFormat="1" ht="15" hidden="1" customHeight="1" thickBot="1" x14ac:dyDescent="0.4">
      <c r="A7" s="27"/>
      <c r="B7" s="245"/>
      <c r="C7" s="245"/>
      <c r="D7" s="245"/>
      <c r="E7" s="70"/>
      <c r="F7" s="70"/>
      <c r="G7" s="261" t="s">
        <v>132</v>
      </c>
      <c r="H7" s="262"/>
      <c r="I7" s="26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</row>
    <row r="8" spans="1:121" s="18" customFormat="1" ht="15.65" customHeight="1" x14ac:dyDescent="0.35">
      <c r="A8" s="22"/>
      <c r="B8" s="81"/>
      <c r="C8" s="81"/>
      <c r="D8" s="81" t="str">
        <f ca="1">MID(CELL("filename",A1),FIND("]",CELL("filename",A1))+1,255)&amp;" Level Scorecard"</f>
        <v>Campaign &amp; Device Level Scorecard</v>
      </c>
      <c r="E8" s="70"/>
      <c r="F8" s="70"/>
      <c r="G8" s="241" t="s">
        <v>132</v>
      </c>
      <c r="H8" s="242"/>
      <c r="I8" s="268"/>
      <c r="J8" s="127" t="s">
        <v>16</v>
      </c>
      <c r="K8" s="128">
        <f>VLOOKUP(K6,Benchmark_Legend[],MATCH(ColumnCD[[#This Row],[Metric]],Benchmark_Legend[#Headers],0),0)</f>
        <v>0.7</v>
      </c>
      <c r="L8" s="128">
        <f>VLOOKUP(L6,Benchmark_Legend[],MATCH(ColumnCD[[#This Row],[Metric]],Benchmark_Legend[#Headers],0),0)</f>
        <v>0.98</v>
      </c>
      <c r="M8" s="128">
        <f>VLOOKUP(M6,Benchmark_Legend[],MATCH(ColumnCD[[#This Row],[Metric]],Benchmark_Legend[#Headers],0),0)</f>
        <v>0.95</v>
      </c>
      <c r="N8" s="128">
        <f>VLOOKUP(N6,Benchmark_Legend[],MATCH(ColumnCD[[#This Row],[Metric]],Benchmark_Legend[#Headers],0),0)</f>
        <v>0.05</v>
      </c>
      <c r="O8" s="128">
        <f>VLOOKUP(O6,Benchmark_Legend[],MATCH(ColumnCD[[#This Row],[Metric]],Benchmark_Legend[#Headers],0),0)</f>
        <v>0.02</v>
      </c>
      <c r="P8" s="128">
        <f>VLOOKUP(P6,Benchmark_Legend[],MATCH(ColumnCD[[#This Row],[Metric]],Benchmark_Legend[#Headers],0),0)</f>
        <v>0.02</v>
      </c>
      <c r="Q8" s="128">
        <f>VLOOKUP(Q6,Benchmark_Legend[],MATCH(ColumnCD[[#This Row],[Metric]],Benchmark_Legend[#Headers],0),0)</f>
        <v>0.01</v>
      </c>
      <c r="R8" s="128">
        <f>VLOOKUP(R6,Benchmark_Legend[],MATCH(ColumnCD[[#This Row],[Metric]],Benchmark_Legend[#Headers],0),0)</f>
        <v>0.01</v>
      </c>
      <c r="S8" s="128">
        <f>VLOOKUP(S6,Benchmark_Legend[],MATCH(ColumnCD[[#This Row],[Metric]],Benchmark_Legend[#Headers],0),0)</f>
        <v>0.01</v>
      </c>
      <c r="T8" s="128">
        <f>VLOOKUP(T6,Benchmark_Legend[],MATCH(ColumnCD[[#This Row],[Metric]],Benchmark_Legend[#Headers],0),0)</f>
        <v>0.03</v>
      </c>
      <c r="U8" s="128">
        <f>VLOOKUP(U6,Benchmark_Legend[],MATCH(ColumnCD[[#This Row],[Metric]],Benchmark_Legend[#Headers],0),0)</f>
        <v>0.55000000000000004</v>
      </c>
      <c r="V8" s="128">
        <f>VLOOKUP(V6,Benchmark_Legend[],MATCH(ColumnCD[[#This Row],[Metric]],Benchmark_Legend[#Headers],0),0)</f>
        <v>0.6</v>
      </c>
      <c r="W8" s="128">
        <f>VLOOKUP(W6,Benchmark_Legend[],MATCH(ColumnCD[[#This Row],[Metric]],Benchmark_Legend[#Headers],0),0)</f>
        <v>0.5</v>
      </c>
      <c r="X8" s="128">
        <f>VLOOKUP(X6,Benchmark_Legend[],MATCH(ColumnCD[[#This Row],[Metric]],Benchmark_Legend[#Headers],0),0)</f>
        <v>0.35</v>
      </c>
      <c r="Y8" s="128">
        <f>VLOOKUP(Y6,Benchmark_Legend[],MATCH(ColumnCD[[#This Row],[Metric]],Benchmark_Legend[#Headers],0),0)</f>
        <v>0.25</v>
      </c>
      <c r="Z8" s="128">
        <f>VLOOKUP(Z6,Benchmark_Legend[],MATCH(ColumnCD[[#This Row],[Metric]],Benchmark_Legend[#Headers],0),0)</f>
        <v>0.35</v>
      </c>
      <c r="AA8" s="128">
        <f>VLOOKUP(AA6,Benchmark_Legend[],MATCH(ColumnCD[[#This Row],[Metric]],Benchmark_Legend[#Headers],0),0)</f>
        <v>0.25</v>
      </c>
    </row>
    <row r="9" spans="1:121" s="18" customFormat="1" ht="15.65" customHeight="1" thickBot="1" x14ac:dyDescent="0.4">
      <c r="B9" s="81"/>
      <c r="C9" s="81"/>
      <c r="D9" s="81" t="s">
        <v>154</v>
      </c>
      <c r="E9" s="68"/>
      <c r="F9" s="68"/>
      <c r="G9" s="118" t="s">
        <v>14</v>
      </c>
      <c r="H9" s="119"/>
      <c r="I9" s="120"/>
      <c r="J9" s="113" t="s">
        <v>130</v>
      </c>
      <c r="K9" s="100">
        <f t="array" aca="1" ref="K9" ca="1">SUM(
IF((DataCD[Measured Rate 
'[% Measured']]&lt;&gt;"NULL"),
DataCD[Measured Rate 
'[% Measured']]*
SUBTOTAL(9,OFFSET(DataCD[Total Impressions],ROW(DataCD[Total Impressions])-MIN(ROW(DataCD[Total Impressions])),0,1))))
/
SUM(
IF((DataCD[Measured Rate 
'[% Measured']]&lt;&gt;"NULL"),
SUBTOTAL(9,OFFSET(DataCD[Total Impressions],ROW(DataCD[Total Impressions])-MIN(ROW(DataCD[Total Impressions])),0,1))))</f>
        <v>0.7</v>
      </c>
      <c r="L9" s="100">
        <f t="array" aca="1" ref="L9" ca="1">SUM(
IF((DataCD[See-Through Rate 
'[% Visible']]&lt;&gt;"NULL"),
DataCD[See-Through Rate 
'[% Visible']]*
SUBTOTAL(9,OFFSET(DataCD[Total Impressions],ROW(DataCD[Total Impressions])-MIN(ROW(DataCD[Total Impressions])),0,1))))
/
SUM(
IF((DataCD[See-Through Rate 
'[% Visible']]&lt;&gt;"NULL"),
SUBTOTAL(9,OFFSET(DataCD[Total Impressions],ROW(DataCD[Total Impressions])-MIN(ROW(DataCD[Total Impressions])),0,1))))</f>
        <v>0.98</v>
      </c>
      <c r="M9" s="112">
        <f t="array" aca="1" ref="M9" ca="1">SUM(
IF((DataCD[Brand Safety 
'[% Passed']]&lt;&gt;"NULL"),
DataCD[Brand Safety 
'[% Passed']]*
SUBTOTAL(9,OFFSET(DataCD[Total Impressions],ROW(DataCD[Total Impressions])-MIN(ROW(DataCD[Total Impressions])),0,1))))
/
SUM(
IF((DataCD[Brand Safety 
'[% Passed']]&lt;&gt;"NULL"),
SUBTOTAL(9,OFFSET(DataCD[Total Impressions],ROW(DataCD[Total Impressions])-MIN(ROW(DataCD[Total Impressions])),0,1))))</f>
        <v>0.95</v>
      </c>
      <c r="N9" s="112">
        <f t="array" aca="1" ref="N9" ca="1">SUM(
IF((DataCD[Brand Safety 
'[% Failed']]&lt;&gt;"NULL"),
DataCD[Brand Safety 
'[% Failed']]*
SUBTOTAL(9,OFFSET(DataCD[Total Impressions],ROW(DataCD[Total Impressions])-MIN(ROW(DataCD[Total Impressions])),0,1))))
/
SUM(
IF((DataCD[Brand Safety 
'[% Failed']]&lt;&gt;"NULL"),
SUBTOTAL(9,OFFSET(DataCD[Total Impressions],ROW(DataCD[Total Impressions])-MIN(ROW(DataCD[Total Impressions])),0,1))))</f>
        <v>0.05</v>
      </c>
      <c r="O9" s="112">
        <f t="array" aca="1" ref="O9" ca="1">SUM(
IF((DataCD[Brand Safety 
'[% Failed by Content']]&lt;&gt;"NULL"),
DataCD[Brand Safety 
'[% Failed by Content']]*
SUBTOTAL(9,OFFSET(DataCD[Total Impressions],ROW(DataCD[Total Impressions])-MIN(ROW(DataCD[Total Impressions])),0,1))))
/
SUM(
IF((DataCD[Brand Safety 
'[% Failed by Content']]&lt;&gt;"NULL"),
SUBTOTAL(9,OFFSET(DataCD[Total Impressions],ROW(DataCD[Total Impressions])-MIN(ROW(DataCD[Total Impressions])),0,1))))</f>
        <v>0.02</v>
      </c>
      <c r="P9" s="112">
        <f t="array" aca="1" ref="P9" ca="1">SUM(
IF((DataCD[Brand Safety 
'[% Failed by Geo']]&lt;&gt;"NULL"),
DataCD[Brand Safety 
'[% Failed by Geo']]*
SUBTOTAL(9,OFFSET(DataCD[Total Impressions],ROW(DataCD[Total Impressions])-MIN(ROW(DataCD[Total Impressions])),0,1))))
/
SUM(
IF((DataCD[Brand Safety 
'[% Failed by Geo']]&lt;&gt;"NULL"),
SUBTOTAL(9,OFFSET(DataCD[Total Impressions],ROW(DataCD[Total Impressions])-MIN(ROW(DataCD[Total Impressions])),0,1))))</f>
        <v>0.02</v>
      </c>
      <c r="Q9" s="100">
        <f t="array" aca="1" ref="Q9" ca="1">SUM(
IF((DataCD[Brand Safety 
'[% Failed by Keyword']]&lt;&gt;"NULL"),
DataCD[Brand Safety 
'[% Failed by Keyword']]*
SUBTOTAL(9,OFFSET(DataCD[Total Impressions],ROW(DataCD[Total Impressions])-MIN(ROW(DataCD[Total Impressions])),0,1))))
/
SUM(
IF((DataCD[Brand Safety 
'[% Failed by Keyword']]&lt;&gt;"NULL"),
SUBTOTAL(9,OFFSET(DataCD[Total Impressions],ROW(DataCD[Total Impressions])-MIN(ROW(DataCD[Total Impressions])),0,1))))</f>
        <v>0.01</v>
      </c>
      <c r="R9" s="100">
        <f t="array" aca="1" ref="R9" ca="1">SUM(
IF((DataCD[Brand Safety 
'[% Failed by Blacklist']]&lt;&gt;"NULL"),
DataCD[Brand Safety 
'[% Failed by Blacklist']]*
SUBTOTAL(9,OFFSET(DataCD[Total Impressions],ROW(DataCD[Total Impressions])-MIN(ROW(DataCD[Total Impressions])),0,1))))
/
SUM(
IF((DataCD[Brand Safety 
'[% Failed by Blacklist']]&lt;&gt;"NULL"),
SUBTOTAL(9,OFFSET(DataCD[Total Impressions],ROW(DataCD[Total Impressions])-MIN(ROW(DataCD[Total Impressions])),0,1))))</f>
        <v>0.01</v>
      </c>
      <c r="S9" s="100">
        <f t="array" aca="1" ref="S9" ca="1">SUM(
IF((DataCD[Brand Safety 
'[% Failed by Language']]&lt;&gt;"NULL"),
DataCD[Brand Safety 
'[% Failed by Language']]*
SUBTOTAL(9,OFFSET(DataCD[Total Impressions],ROW(DataCD[Total Impressions])-MIN(ROW(DataCD[Total Impressions])),0,1))))
/
SUM(
IF((DataCD[Brand Safety 
'[% Failed by Language']]&lt;&gt;"NULL"),
SUBTOTAL(9,OFFSET(DataCD[Total Impressions],ROW(DataCD[Total Impressions])-MIN(ROW(DataCD[Total Impressions])),0,1))))</f>
        <v>0.01</v>
      </c>
      <c r="T9" s="100">
        <f t="array" aca="1" ref="T9" ca="1">SUM(
IF((DataCD[Fraud 
'[% Fraud']]&lt;&gt;"NULL"),
DataCD[Fraud 
'[% Fraud']]*
SUBTOTAL(9,OFFSET(DataCD[Total Impressions],ROW(DataCD[Total Impressions])-MIN(ROW(DataCD[Total Impressions])),0,1))))
/
SUM(
IF((DataCD[Fraud 
'[% Fraud']]&lt;&gt;"NULL"),
SUBTOTAL(9,OFFSET(DataCD[Total Impressions],ROW(DataCD[Total Impressions])-MIN(ROW(DataCD[Total Impressions])),0,1))))</f>
        <v>0.03</v>
      </c>
      <c r="U9" s="100">
        <f t="array" aca="1" ref="U9" ca="1">SUM(
IF((DataCD[Viewability 
'[Total Viewable Rate (Total Net Metrics)']]&lt;&gt;"NULL"),
DataCD[Viewability 
'[Total Viewable Rate (Total Net Metrics)']]*SUBTOTAL(9,OFFSET(DataCD[Measured Impressions],ROW(DataCD[Measured Impressions])-MIN(ROW(DataCD[Measured Impressions])),0,1))))
/
SUM(
IF((DataCD[Viewability 
'[Total Viewable Rate (Total Net Metrics)']]&lt;&gt;"NULL"),
SUBTOTAL(9,OFFSET(DataCD[Measured Impressions],ROW(DataCD[Measured Impressions])-MIN(ROW(DataCD[Measured Impressions])),0,1))))</f>
        <v>0.55000000000000004</v>
      </c>
      <c r="V9" s="100">
        <f t="array" aca="1" ref="V9" ca="1">SUM(
IF((DataCD[Display Viewability 
'[Total Viewable Rate (Total Net Metrics)']]&lt;&gt;"NULL"),
DataCD[Display Viewability 
'[Total Viewable Rate (Total Net Metrics)']]*SUBTOTAL(9,OFFSET(DataCD[Measured Impressions],ROW(DataCD[Measured Impressions])-MIN(ROW(DataCD[Measured Impressions])),0,1))))
/
SUM(
IF((DataCD[Display Viewability 
'[Total Viewable Rate (Total Net Metrics)']]&lt;&gt;"NULL"),
SUBTOTAL(9,OFFSET(DataCD[Measured Impressions],ROW(DataCD[Measured Impressions])-MIN(ROW(DataCD[Measured Impressions])),0,1))))</f>
        <v>0.6</v>
      </c>
      <c r="W9" s="112">
        <f t="array" aca="1" ref="W9" ca="1">SUM(
IF((DataCD[Video Viewability 
'[Total Viewable Rate (Total Net Metrics)']]&lt;&gt;"NULL"),
DataCD[Video Viewability 
'[Total Viewable Rate (Total Net Metrics)']]*SUBTOTAL(9,OFFSET(DataCD[Measured Impressions],ROW(DataCD[Measured Impressions])-MIN(ROW(DataCD[Measured Impressions])),0,1))))
/
SUM(
IF((DataCD[Video Viewability 
'[Total Viewable Rate (Total Net Metrics)']]&lt;&gt;"NULL"),
SUBTOTAL(9,OFFSET(DataCD[Measured Impressions],ROW(DataCD[Measured Impressions])-MIN(ROW(DataCD[Measured Impressions])),0,1))))</f>
        <v>0.5</v>
      </c>
      <c r="X9" s="100">
        <f t="array" aca="1" ref="X9" ca="1">SUM(
IF((DataCD[GroupM Viewability 
'[% Display Ads Fully in View']]&lt;&gt;"NULL"),
DataCD[GroupM Viewability 
'[% Display Ads Fully in View']]*SUBTOTAL(9,OFFSET(DataCD[Measured Impressions],ROW(DataCD[Measured Impressions])-MIN(ROW(DataCD[Measured Impressions])),0,1))))
/
SUM(
IF((DataCD[GroupM Viewability 
'[% Display Ads Fully in View']]&lt;&gt;"NULL"),
SUBTOTAL(9,OFFSET(DataCD[Measured Impressions],ROW(DataCD[Measured Impressions])-MIN(ROW(DataCD[Measured Impressions])),0,1))))</f>
        <v>0.35</v>
      </c>
      <c r="Y9" s="112">
        <f t="array" aca="1" ref="Y9" ca="1">SUM(
IF((DataCD[GroupM Viewability 
'[% Videos Fully in View']]&lt;&gt;"NULL"),
DataCD[GroupM Viewability 
'[% Videos Fully in View']]*SUBTOTAL(9,OFFSET(DataCD[Measured Impressions],ROW(DataCD[Measured Impressions])-MIN(ROW(DataCD[Measured Impressions])),0,1))))
/
SUM(
IF((DataCD[GroupM Viewability 
'[% Videos Fully in View']]&lt;&gt;"NULL"),
SUBTOTAL(9,OFFSET(DataCD[Measured Impressions],ROW(DataCD[Measured Impressions])-MIN(ROW(DataCD[Measured Impressions])),0,1))))</f>
        <v>0.25</v>
      </c>
      <c r="Z9" s="100">
        <f t="array" aca="1" ref="Z9" ca="1">SUM(
IF((DataCD[Publicis Viewability 
'[% Display Ads Fully in View']]&lt;&gt;"NULL"),
DataCD[Publicis Viewability 
'[% Display Ads Fully in View']]*SUBTOTAL(9,OFFSET(DataCD[Measured Impressions],ROW(DataCD[Measured Impressions])-MIN(ROW(DataCD[Measured Impressions])),0,1))))
/
SUM(
IF((DataCD[Publicis Viewability 
'[% Display Ads Fully in View']]&lt;&gt;"NULL"),
SUBTOTAL(9,OFFSET(DataCD[Measured Impressions],ROW(DataCD[Measured Impressions])-MIN(ROW(DataCD[Measured Impressions])),0,1))))</f>
        <v>0.35</v>
      </c>
      <c r="AA9" s="100">
        <f t="array" aca="1" ref="AA9" ca="1">SUM(
IF((DataCD[Publicis Viewability 
'[% Videos Fully in View']]&lt;&gt;"NULL"),
DataCD[Publicis Viewability 
'[% Videos Fully in View']]*SUBTOTAL(9,OFFSET(DataCD[Measured Impressions],ROW(DataCD[Measured Impressions])-MIN(ROW(DataCD[Measured Impressions])),0,1))))
/
SUM(
IF((DataCD[Publicis Viewability 
'[% Videos Fully in View']]&lt;&gt;"NULL"),
SUBTOTAL(9,OFFSET(DataCD[Measured Impressions],ROW(DataCD[Measured Impressions])-MIN(ROW(DataCD[Measured Impressions])),0,1))))</f>
        <v>0.25</v>
      </c>
    </row>
    <row r="10" spans="1:121" s="18" customFormat="1" ht="15.75" hidden="1" customHeight="1" x14ac:dyDescent="0.35">
      <c r="A10" s="67"/>
      <c r="B10" s="68"/>
      <c r="C10" s="66"/>
      <c r="D10" s="68"/>
      <c r="E10" s="68"/>
      <c r="F10" s="68"/>
      <c r="G10" s="116"/>
      <c r="H10" s="116"/>
      <c r="I10" s="117"/>
      <c r="J10" s="102" t="s">
        <v>126</v>
      </c>
      <c r="K10" s="31">
        <f t="array" aca="1" ref="K10" ca="1">SUM(
IF(DataCD[Measured Rate 
'[% Measured']]&lt;&gt;"NULL",
IF(DataCD[Device Type]=ColumnCD[[#This Row],[Metric]],
DataCD[Measured Rate 
'[% Measured']]*
SUBTOTAL(9,OFFSET(DataCD[Total Impressions],ROW(DataCD[Total Impressions])-MIN(ROW(DataCD[Total Impressions])),0,1)))))
/
SUM(
IF(DataCD[Measured Rate 
'[% Measured']]&lt;&gt;"NULL",
IF(DataCD[Device Type]=ColumnCD[[#This Row],[Metric]],
SUBTOTAL(9,OFFSET(DataCD[Total Impressions],ROW(DataCD[Total Impressions])-MIN(ROW(DataCD[Total Impressions])),0,1)))))</f>
        <v>0.7</v>
      </c>
      <c r="L10" s="32">
        <f t="array" aca="1" ref="L10" ca="1">SUM(
IF(DataCD[See-Through Rate 
'[% Visible']]&lt;&gt;"NULL",
IF(DataCD[Device Type]=ColumnCD[[#This Row],[Metric]],
DataCD[See-Through Rate 
'[% Visible']]*
SUBTOTAL(9,OFFSET(DataCD[Total Impressions],ROW(DataCD[Total Impressions])-MIN(ROW(DataCD[Total Impressions])),0,1)))))
/
SUM(
IF(DataCD[See-Through Rate 
'[% Visible']]&lt;&gt;"NULL",
IF(DataCD[Device Type]=ColumnCD[[#This Row],[Metric]],
SUBTOTAL(9,OFFSET(DataCD[Total Impressions],ROW(DataCD[Total Impressions])-MIN(ROW(DataCD[Total Impressions])),0,1)))))</f>
        <v>0.98</v>
      </c>
      <c r="M10" s="32">
        <f t="array" aca="1" ref="M10" ca="1">SUM(
IF(DataCD[Brand Safety 
'[% Passed']]&lt;&gt;"NULL",
IF(DataCD[Device Type]=ColumnCD[[#This Row],[Metric]],
DataCD[Brand Safety 
'[% Passed']]*
SUBTOTAL(9,OFFSET(DataCD[Total Impressions],ROW(DataCD[Total Impressions])-MIN(ROW(DataCD[Total Impressions])),0,1)))))
/
SUM(
IF(DataCD[Brand Safety 
'[% Passed']]&lt;&gt;"NULL",
IF(DataCD[Device Type]=ColumnCD[[#This Row],[Metric]],
SUBTOTAL(9,OFFSET(DataCD[Total Impressions],ROW(DataCD[Total Impressions])-MIN(ROW(DataCD[Total Impressions])),0,1)))))</f>
        <v>0.95</v>
      </c>
      <c r="N10" s="32">
        <f t="array" aca="1" ref="N10" ca="1">SUM(
IF(DataCD[Brand Safety 
'[% Failed']]&lt;&gt;"NULL",
IF(DataCD[Device Type]=ColumnCD[[#This Row],[Metric]],
DataCD[Brand Safety 
'[% Failed']]*
SUBTOTAL(9,OFFSET(DataCD[Total Impressions],ROW(DataCD[Total Impressions])-MIN(ROW(DataCD[Total Impressions])),0,1)))))
/
SUM(
IF(DataCD[Brand Safety 
'[% Failed']]&lt;&gt;"NULL",
IF(DataCD[Device Type]=ColumnCD[[#This Row],[Metric]],
SUBTOTAL(9,OFFSET(DataCD[Total Impressions],ROW(DataCD[Total Impressions])-MIN(ROW(DataCD[Total Impressions])),0,1)))))</f>
        <v>0.05</v>
      </c>
      <c r="O10" s="32">
        <f t="array" aca="1" ref="O10" ca="1">SUM(
IF(DataCD[Brand Safety 
'[% Failed by Content']]&lt;&gt;"NULL",
IF(DataCD[Device Type]=ColumnCD[[#This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IF(DataCD[Device Type]=ColumnCD[[#This Row],[Metric]],
SUBTOTAL(9,OFFSET(DataCD[Total Impressions],ROW(DataCD[Total Impressions])-MIN(ROW(DataCD[Total Impressions])),0,1)))))</f>
        <v>0.02</v>
      </c>
      <c r="P10" s="32">
        <f t="array" aca="1" ref="P10" ca="1">SUM(
IF(DataCD[Brand Safety 
'[% Failed by Geo']]&lt;&gt;"NULL",
IF(DataCD[Device Type]=ColumnCD[[#This Row],[Metric]],
DataCD[Brand Safety 
'[% Failed by Geo']]*
SUBTOTAL(9,OFFSET(DataCD[Total Impressions],ROW(DataCD[Total Impressions])-MIN(ROW(DataCD[Total Impressions])),0,1)))))
/
SUM(
IF(DataCD[Brand Safety 
'[% Failed by Geo']]&lt;&gt;"NULL",
IF(DataCD[Device Type]=ColumnCD[[#This Row],[Metric]],
SUBTOTAL(9,OFFSET(DataCD[Total Impressions],ROW(DataCD[Total Impressions])-MIN(ROW(DataCD[Total Impressions])),0,1)))))</f>
        <v>0.02</v>
      </c>
      <c r="Q10" s="32">
        <f t="array" aca="1" ref="Q10" ca="1">SUM(
IF(DataCD[Brand Safety 
'[% Failed by Keyword']]&lt;&gt;"NULL",
IF(DataCD[Device Type]=ColumnCD[[#This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IF(DataCD[Device Type]=ColumnCD[[#This Row],[Metric]],
SUBTOTAL(9,OFFSET(DataCD[Total Impressions],ROW(DataCD[Total Impressions])-MIN(ROW(DataCD[Total Impressions])),0,1)))))</f>
        <v>0.01</v>
      </c>
      <c r="R10" s="32">
        <f t="array" aca="1" ref="R10" ca="1">SUM(
IF(DataCD[Brand Safety 
'[% Failed by Blacklist']]&lt;&gt;"NULL",
IF(DataCD[Device Type]=ColumnCD[[#This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IF(DataCD[Device Type]=ColumnCD[[#This Row],[Metric]],
SUBTOTAL(9,OFFSET(DataCD[Total Impressions],ROW(DataCD[Total Impressions])-MIN(ROW(DataCD[Total Impressions])),0,1)))))</f>
        <v>0.01</v>
      </c>
      <c r="S10" s="32">
        <f t="array" aca="1" ref="S10" ca="1">SUM(
IF(DataCD[Brand Safety 
'[% Failed by Language']]&lt;&gt;"NULL",
IF(DataCD[Device Type]=ColumnCD[[#This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IF(DataCD[Device Type]=ColumnCD[[#This Row],[Metric]],
SUBTOTAL(9,OFFSET(DataCD[Total Impressions],ROW(DataCD[Total Impressions])-MIN(ROW(DataCD[Total Impressions])),0,1)))))</f>
        <v>0.01</v>
      </c>
      <c r="T10" s="32">
        <f t="array" aca="1" ref="T10" ca="1">SUM(
IF(DataCD[Fraud 
'[% Fraud']]&lt;&gt;"NULL",
IF(DataCD[Device Type]=ColumnCD[[#This Row],[Metric]],
DataCD[Fraud 
'[% Fraud']]*
SUBTOTAL(9,OFFSET(DataCD[Total Impressions],ROW(DataCD[Total Impressions])-MIN(ROW(DataCD[Total Impressions])),0,1)))))
/
SUM(
IF(DataCD[Fraud 
'[% Fraud']]&lt;&gt;"NULL",
IF(DataCD[Device Type]=ColumnCD[[#This Row],[Metric]],
SUBTOTAL(9,OFFSET(DataCD[Total Impressions],ROW(DataCD[Total Impressions])-MIN(ROW(DataCD[Total Impressions])),0,1)))))</f>
        <v>0.03</v>
      </c>
      <c r="U10" s="32">
        <f t="array" aca="1" ref="U10" ca="1">SUM(
IF(DataCD[Viewability 
'[Total Viewable Rate (Total Net Metrics)']]&lt;&gt;"NULL",
IF(DataCD[Device Type]=ColumnCD[[#This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IF(DataCD[Device Type]=ColumnCD[[#This Row],[Metric]],
SUBTOTAL(9,OFFSET(DataCD[Total Impressions],ROW(DataCD[Total Impressions])-MIN(ROW(DataCD[Total Impressions])),0,1)))))</f>
        <v>0.55000000000000004</v>
      </c>
      <c r="V10" s="32">
        <f t="array" aca="1" ref="V10" ca="1">SUM(
IF(DataCD[Display Viewability 
'[Total Viewable Rate (Total Net Metrics)']]&lt;&gt;"NULL",
IF(DataCD[Device Type]=ColumnCD[[#This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IF(DataCD[Device Type]=ColumnCD[[#This Row],[Metric]],
SUBTOTAL(9,OFFSET(DataCD[Total Impressions],ROW(DataCD[Total Impressions])-MIN(ROW(DataCD[Total Impressions])),0,1)))))</f>
        <v>0.59999999999999987</v>
      </c>
      <c r="W10" s="32">
        <f t="array" aca="1" ref="W10" ca="1">SUM(
IF(DataCD[Video Viewability 
'[Total Viewable Rate (Total Net Metrics)']]&lt;&gt;"NULL",
IF(DataCD[Device Type]=ColumnCD[[#This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IF(DataCD[Device Type]=ColumnCD[[#This Row],[Metric]],
SUBTOTAL(9,OFFSET(DataCD[Total Impressions],ROW(DataCD[Total Impressions])-MIN(ROW(DataCD[Total Impressions])),0,1)))))</f>
        <v>0.5</v>
      </c>
      <c r="X10" s="32">
        <f t="array" aca="1" ref="X10" ca="1">SUM(
IF(DataCD[GroupM Viewability 
'[% Display Ads Fully in View']]&lt;&gt;"NULL",
IF(DataCD[Device Type]=ColumnCD[[#This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Y10" s="32">
        <f t="array" aca="1" ref="Y10" ca="1">SUM(
IF(DataCD[GroupM Viewability 
'[% Videos Fully in View']]&lt;&gt;"NULL",
IF(DataCD[Device Type]=ColumnCD[[#This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IF(DataCD[Device Type]=ColumnCD[[#This Row],[Metric]],
SUBTOTAL(9,OFFSET(DataCD[Total Impressions],ROW(DataCD[Total Impressions])-MIN(ROW(DataCD[Total Impressions])),0,1)))))</f>
        <v>0.25</v>
      </c>
      <c r="Z10" s="32">
        <f t="array" aca="1" ref="Z10" ca="1">SUM(
IF(DataCD[Publicis Viewability 
'[% Display Ads Fully in View']]&lt;&gt;"NULL",
IF(DataCD[Device Type]=ColumnCD[[#This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IF(DataCD[Device Type]=ColumnCD[[#This Row],[Metric]],
SUBTOTAL(9,OFFSET(DataCD[Total Impressions],ROW(DataCD[Total Impressions])-MIN(ROW(DataCD[Total Impressions])),0,1)))))</f>
        <v>0.35</v>
      </c>
      <c r="AA10" s="32">
        <f t="array" aca="1" ref="AA10" ca="1">SUM(
IF(DataCD[Publicis Viewability 
'[% Videos Fully in View']]&lt;&gt;"NULL",
IF(DataCD[Device Type]=ColumnCD[[#This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IF(DataCD[Device Type]=ColumnCD[[#This Row],[Metric]],
SUBTOTAL(9,OFFSET(DataCD[Total Impressions],ROW(DataCD[Total Impressions])-MIN(ROW(DataCD[Total Impressions])),0,1)))))</f>
        <v>0.25</v>
      </c>
    </row>
    <row r="11" spans="1:121" s="18" customFormat="1" ht="16.5" hidden="1" customHeight="1" x14ac:dyDescent="0.35">
      <c r="A11" s="71"/>
      <c r="B11" s="66"/>
      <c r="C11" s="66"/>
      <c r="D11" s="66"/>
      <c r="E11" s="68"/>
      <c r="F11" s="68"/>
      <c r="G11" s="116" t="s">
        <v>14</v>
      </c>
      <c r="H11" s="116"/>
      <c r="I11" s="117"/>
      <c r="J11" s="102" t="s">
        <v>140</v>
      </c>
      <c r="K11" s="31" t="e">
        <f t="array" aca="1" ref="K11" ca="1">SUM(
IF(DataCD[Measured Rate 
'[% Measured']]&lt;&gt;"NULL",
IF(DataCD[Brand]=ColumnCD[[#This Row],[Metric]],
DataCD[Measured Rate 
'[% Measured']]*
SUBTOTAL(9,OFFSET(DataCD[Total Impressions],ROW(DataCD[Total Impressions])-MIN(ROW(DataCD[Total Impressions])),0,1)))))
/
SUM(
IF(DataCD[Measured Rate 
'[% Measured']]&lt;&gt;"NULL",
IF(DataCD[Brand]=ColumnCD[[#This Row],[Metric]],
SUBTOTAL(9,OFFSET(DataCD[Total Impressions],ROW(DataCD[Total Impressions])-MIN(ROW(DataCD[Total Impressions])),0,1)))))</f>
        <v>#DIV/0!</v>
      </c>
      <c r="L11" s="32" t="e">
        <f t="array" aca="1" ref="L11" ca="1">SUM(
IF(DataCD[See-Through Rate 
'[% Visible']]&lt;&gt;"NULL",
IF(DataCD[Brand]=ColumnCD[[#This Row],[Metric]],
DataCD[See-Through Rate 
'[% Visible']]*
SUBTOTAL(9,OFFSET(DataCD[Total Impressions],ROW(DataCD[Total Impressions])-MIN(ROW(DataCD[Total Impressions])),0,1)))))
/
SUM(
IF(DataCD[See-Through Rate 
'[% Visible']]&lt;&gt;"NULL",
IF(DataCD[Brand]=ColumnCD[[#This Row],[Metric]],
SUBTOTAL(9,OFFSET(DataCD[Total Impressions],ROW(DataCD[Total Impressions])-MIN(ROW(DataCD[Total Impressions])),0,1)))))</f>
        <v>#DIV/0!</v>
      </c>
      <c r="M11" s="32" t="e">
        <f t="array" aca="1" ref="M11" ca="1">SUM(
IF(DataCD[Brand Safety 
'[% Passed']]&lt;&gt;"NULL",
IF(DataCD[Brand]=ColumnCD[[#This Row],[Metric]],
DataCD[Brand Safety 
'[% Passed']]*
SUBTOTAL(9,OFFSET(DataCD[Total Impressions],ROW(DataCD[Total Impressions])-MIN(ROW(DataCD[Total Impressions])),0,1)))))
/
SUM(
IF(DataCD[Brand Safety 
'[% Passed']]&lt;&gt;"NULL",
IF(DataCD[Brand]=ColumnCD[[#This Row],[Metric]],
SUBTOTAL(9,OFFSET(DataCD[Total Impressions],ROW(DataCD[Total Impressions])-MIN(ROW(DataCD[Total Impressions])),0,1)))))</f>
        <v>#DIV/0!</v>
      </c>
      <c r="N11" s="32" t="e">
        <f t="array" aca="1" ref="N11" ca="1">SUM(
IF(DataCD[Brand Safety 
'[% Failed']]&lt;&gt;"NULL",
IF(DataCD[Brand]=ColumnCD[[#This Row],[Metric]],
DataCD[Brand Safety 
'[% Failed']]*
SUBTOTAL(9,OFFSET(DataCD[Total Impressions],ROW(DataCD[Total Impressions])-MIN(ROW(DataCD[Total Impressions])),0,1)))))
/
SUM(
IF(DataCD[Brand Safety 
'[% Failed']]&lt;&gt;"NULL",
IF(DataCD[Brand]=ColumnCD[[#This Row],[Metric]],
SUBTOTAL(9,OFFSET(DataCD[Total Impressions],ROW(DataCD[Total Impressions])-MIN(ROW(DataCD[Total Impressions])),0,1)))))</f>
        <v>#DIV/0!</v>
      </c>
      <c r="O11" s="32" t="e">
        <f t="array" aca="1" ref="O11" ca="1">SUM(
IF(DataCD[Brand Safety 
'[% Failed by Content']]&lt;&gt;"NULL",
IF(DataCD[Brand]=ColumnCD[[#This Row],[Metric]],
DataCD[Brand Safety 
'[% Failed by Content']]*
SUBTOTAL(9,OFFSET(DataCD[Total Impressions],ROW(DataCD[Total Impressions])-MIN(ROW(DataCD[Total Impressions])),0,1)))))
/
SUM(
IF(DataCD[Brand Safety 
'[% Failed by Content']]&lt;&gt;"NULL",
IF(DataCD[Brand]=ColumnCD[[#This Row],[Metric]],
SUBTOTAL(9,OFFSET(DataCD[Total Impressions],ROW(DataCD[Total Impressions])-MIN(ROW(DataCD[Total Impressions])),0,1)))))</f>
        <v>#DIV/0!</v>
      </c>
      <c r="P11" s="32" t="e">
        <f t="array" aca="1" ref="P11" ca="1">SUM(
IF(DataCD[Brand Safety 
'[% Failed by Geo']]&lt;&gt;"NULL",
IF(DataCD[Brand]=ColumnCD[[#This Row],[Metric]],
DataCD[Brand Safety 
'[% Failed by Geo']]*
SUBTOTAL(9,OFFSET(DataCD[Total Impressions],ROW(DataCD[Total Impressions])-MIN(ROW(DataCD[Total Impressions])),0,1)))))
/
SUM(
IF(DataCD[Brand Safety 
'[% Failed by Geo']]&lt;&gt;"NULL",
IF(DataCD[Brand]=ColumnCD[[#This Row],[Metric]],
SUBTOTAL(9,OFFSET(DataCD[Total Impressions],ROW(DataCD[Total Impressions])-MIN(ROW(DataCD[Total Impressions])),0,1)))))</f>
        <v>#DIV/0!</v>
      </c>
      <c r="Q11" s="32" t="e">
        <f t="array" aca="1" ref="Q11" ca="1">SUM(
IF(DataCD[Brand Safety 
'[% Failed by Keyword']]&lt;&gt;"NULL",
IF(DataCD[Brand]=ColumnCD[[#This Row],[Metric]],
DataCD[Brand Safety 
'[% Failed by Keyword']]*
SUBTOTAL(9,OFFSET(DataCD[Total Impressions],ROW(DataCD[Total Impressions])-MIN(ROW(DataCD[Total Impressions])),0,1)))))
/
SUM(
IF(DataCD[Brand Safety 
'[% Failed by Keyword']]&lt;&gt;"NULL",
IF(DataCD[Brand]=ColumnCD[[#This Row],[Metric]],
SUBTOTAL(9,OFFSET(DataCD[Total Impressions],ROW(DataCD[Total Impressions])-MIN(ROW(DataCD[Total Impressions])),0,1)))))</f>
        <v>#DIV/0!</v>
      </c>
      <c r="R11" s="32" t="e">
        <f t="array" aca="1" ref="R11" ca="1">SUM(
IF(DataCD[Brand Safety 
'[% Failed by Blacklist']]&lt;&gt;"NULL",
IF(DataCD[Brand]=ColumnCD[[#This Row],[Metric]],
DataCD[Brand Safety 
'[% Failed by Blacklist']]*
SUBTOTAL(9,OFFSET(DataCD[Total Impressions],ROW(DataCD[Total Impressions])-MIN(ROW(DataCD[Total Impressions])),0,1)))))
/
SUM(
IF(DataCD[Brand Safety 
'[% Failed by Blacklist']]&lt;&gt;"NULL",
IF(DataCD[Brand]=ColumnCD[[#This Row],[Metric]],
SUBTOTAL(9,OFFSET(DataCD[Total Impressions],ROW(DataCD[Total Impressions])-MIN(ROW(DataCD[Total Impressions])),0,1)))))</f>
        <v>#DIV/0!</v>
      </c>
      <c r="S11" s="32" t="e">
        <f t="array" aca="1" ref="S11" ca="1">SUM(
IF(DataCD[Brand Safety 
'[% Failed by Language']]&lt;&gt;"NULL",
IF(DataCD[Brand]=ColumnCD[[#This Row],[Metric]],
DataCD[Brand Safety 
'[% Failed by Language']]*
SUBTOTAL(9,OFFSET(DataCD[Total Impressions],ROW(DataCD[Total Impressions])-MIN(ROW(DataCD[Total Impressions])),0,1)))))
/
SUM(
IF(DataCD[Brand Safety 
'[% Failed by Language']]&lt;&gt;"NULL",
IF(DataCD[Brand]=ColumnCD[[#This Row],[Metric]],
SUBTOTAL(9,OFFSET(DataCD[Total Impressions],ROW(DataCD[Total Impressions])-MIN(ROW(DataCD[Total Impressions])),0,1)))))</f>
        <v>#DIV/0!</v>
      </c>
      <c r="T11" s="32" t="e">
        <f t="array" aca="1" ref="T11" ca="1">SUM(
IF(DataCD[Fraud 
'[% Fraud']]&lt;&gt;"NULL",
IF(DataCD[Brand]=ColumnCD[[#This Row],[Metric]],
DataCD[Fraud 
'[% Fraud']]*
SUBTOTAL(9,OFFSET(DataCD[Total Impressions],ROW(DataCD[Total Impressions])-MIN(ROW(DataCD[Total Impressions])),0,1)))))
/
SUM(
IF(DataCD[Fraud 
'[% Fraud']]&lt;&gt;"NULL",
IF(DataCD[Brand]=ColumnCD[[#This Row],[Metric]],
SUBTOTAL(9,OFFSET(DataCD[Total Impressions],ROW(DataCD[Total Impressions])-MIN(ROW(DataCD[Total Impressions])),0,1)))))</f>
        <v>#DIV/0!</v>
      </c>
      <c r="U11" s="32" t="e">
        <f t="array" aca="1" ref="U11" ca="1">SUM(
IF(DataCD[Viewability 
'[Total Viewable Rate (Total Net Metrics)']]&lt;&gt;"NULL",
IF(DataCD[Brand]=ColumnCD[[#This Row],[Metric]],
DataCD[Viewability 
'[Total Viewable Rate (Total Net Metrics)']]*
SUBTOTAL(9,OFFSET(DataCD[Total Impressions],ROW(DataCD[Total Impressions])-MIN(ROW(DataCD[Total Impressions])),0,1)))))
/
SUM(
IF(DataCD[Viewability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V11" s="32" t="e">
        <f t="array" aca="1" ref="V11" ca="1">SUM(
IF(DataCD[Display Viewability 
'[Total Viewable Rate (Total Net Metrics)']]&lt;&gt;"NULL",
IF(DataCD[Brand]=ColumnCD[[#This Row],[Metric]],
DataCD[Display Viewability 
'[Total Viewable Rate (Total Net Metrics)']]*
SUBTOTAL(9,OFFSET(DataCD[Total Impressions],ROW(DataCD[Total Impressions])-MIN(ROW(DataCD[Total Impressions])),0,1)))))
/
SUM(
IF(DataCD[Display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W11" s="32" t="e">
        <f t="array" aca="1" ref="W11" ca="1">SUM(
IF(DataCD[Video Viewability 
'[Total Viewable Rate (Total Net Metrics)']]&lt;&gt;"NULL",
IF(DataCD[Brand]=ColumnCD[[#This Row],[Metric]],
DataCD[Video Viewability 
'[Total Viewable Rate (Total Net Metrics)']]*
SUBTOTAL(9,OFFSET(DataCD[Total Impressions],ROW(DataCD[Total Impressions])-MIN(ROW(DataCD[Total Impressions])),0,1)))))
/
SUM(
IF(DataCD[Video Viewability 
'[Total Viewable Rate (Total Net Metrics)']]&lt;&gt;"NULL",
IF(DataCD[Brand]=ColumnCD[[#This Row],[Metric]],
SUBTOTAL(9,OFFSET(DataCD[Total Impressions],ROW(DataCD[Total Impressions])-MIN(ROW(DataCD[Total Impressions])),0,1)))))</f>
        <v>#DIV/0!</v>
      </c>
      <c r="X11" s="32" t="e">
        <f t="array" aca="1" ref="X11" ca="1">SUM(
IF(DataCD[GroupM Viewability 
'[% Display Ads Fully in View']]&lt;&gt;"NULL",
IF(DataCD[Brand]=ColumnCD[[#This Row],[Metric]],
DataCD[GroupM Viewability 
'[% Display Ads Fully in View']]*
SUBTOTAL(9,OFFSET(DataCD[Total Impressions],ROW(DataCD[Total Impressions])-MIN(ROW(DataCD[Total Impressions])),0,1)))))
/
SUM(
IF(DataCD[GroupM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Y11" s="32" t="e">
        <f t="array" aca="1" ref="Y11" ca="1">SUM(
IF(DataCD[GroupM Viewability 
'[% Videos Fully in View']]&lt;&gt;"NULL",
IF(DataCD[Brand]=ColumnCD[[#This Row],[Metric]],
DataCD[GroupM Viewability 
'[% Videos Fully in View']]*
SUBTOTAL(9,OFFSET(DataCD[Total Impressions],ROW(DataCD[Total Impressions])-MIN(ROW(DataCD[Total Impressions])),0,1)))))
/
SUM(
IF(DataCD[GroupM Viewability 
'[% Videos Fully in View']]&lt;&gt;"NULL",
IF(DataCD[Brand]=ColumnCD[[#This Row],[Metric]],
SUBTOTAL(9,OFFSET(DataCD[Total Impressions],ROW(DataCD[Total Impressions])-MIN(ROW(DataCD[Total Impressions])),0,1)))))</f>
        <v>#DIV/0!</v>
      </c>
      <c r="Z11" s="32" t="e">
        <f t="array" aca="1" ref="Z11" ca="1">SUM(
IF(DataCD[Publicis Viewability 
'[% Display Ads Fully in View']]&lt;&gt;"NULL",
IF(DataCD[Brand]=ColumnCD[[#This Row],[Metric]],
DataCD[Publicis Viewability 
'[% Display Ads Fully in View']]*
SUBTOTAL(9,OFFSET(DataCD[Total Impressions],ROW(DataCD[Total Impressions])-MIN(ROW(DataCD[Total Impressions])),0,1)))))
/
SUM(
IF(DataCD[Publicis Viewability 
'[% Display Ads Fully in View']]&lt;&gt;"NULL",
IF(DataCD[Brand]=ColumnCD[[#This Row],[Metric]],
SUBTOTAL(9,OFFSET(DataCD[Total Impressions],ROW(DataCD[Total Impressions])-MIN(ROW(DataCD[Total Impressions])),0,1)))))</f>
        <v>#DIV/0!</v>
      </c>
      <c r="AA11" s="32" t="e">
        <f t="array" aca="1" ref="AA11" ca="1">SUM(
IF(DataCD[Publicis Viewability 
'[% Videos Fully in View']]&lt;&gt;"NULL",
IF(DataCD[Brand]=ColumnCD[[#This Row],[Metric]],
DataCD[Publicis Viewability 
'[% Videos Fully in View']]*
SUBTOTAL(9,OFFSET(DataCD[Total Impressions],ROW(DataCD[Total Impressions])-MIN(ROW(DataCD[Total Impressions])),0,1)))))
/
SUM(
IF(DataCD[Publicis Viewability 
'[% Videos Fully in View']]&lt;&gt;"NULL",
IF(DataCD[Brand]=ColumnCD[[#This Row],[Metric]],
SUBTOTAL(9,OFFSET(DataCD[Total Impressions],ROW(DataCD[Total Impressions])-MIN(ROW(DataCD[Total Impressions])),0,1)))))</f>
        <v>#DIV/0!</v>
      </c>
    </row>
    <row r="12" spans="1:121" s="18" customFormat="1" ht="16.5" hidden="1" customHeight="1" x14ac:dyDescent="0.35">
      <c r="A12" s="244"/>
      <c r="B12" s="245"/>
      <c r="C12" s="245"/>
      <c r="D12" s="245"/>
      <c r="E12" s="28"/>
      <c r="F12" s="28"/>
      <c r="G12" s="238" t="s">
        <v>8</v>
      </c>
      <c r="H12" s="238"/>
      <c r="I12" s="26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</row>
    <row r="13" spans="1:121" s="18" customFormat="1" ht="16.5" hidden="1" customHeight="1" x14ac:dyDescent="0.35">
      <c r="A13" s="22"/>
      <c r="B13" s="69"/>
      <c r="C13" s="69"/>
      <c r="D13" s="33"/>
      <c r="E13" s="28"/>
      <c r="F13" s="28"/>
      <c r="G13" s="238" t="s">
        <v>8</v>
      </c>
      <c r="H13" s="238"/>
      <c r="I13" s="26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</row>
    <row r="14" spans="1:121" s="18" customFormat="1" ht="15.75" customHeight="1" thickBot="1" x14ac:dyDescent="0.4">
      <c r="B14" s="36"/>
      <c r="C14" s="36"/>
      <c r="D14" s="22"/>
      <c r="E14" s="13" t="s">
        <v>21</v>
      </c>
      <c r="F14" s="13" t="s">
        <v>21</v>
      </c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IF(DataCD[[#Headers],[Brand]]="Brand",VLOOKUP(DataCD[[#This Row],[Campaign]],Map_Campaign[],2,0),
IF(DataCD[[#Headers],[Brand]]="Region (Team)",VLOOKUP(DataCD[[#This Row],[Team]],Map_Team[],2,0),
IF(DataCD[[#Headers],[Brand]]="Region (Campaign)",VLOOKUP(DataCD[[#This Row],[Campaign]],Map_Campaign[],3,0),
IF(DataCD[[#Headers],[Brand]]="Partner Type",VLOOKUP(DataCD[[#This Row],[Partner]],Map_Partner[],2,0),
IF(DataCD[[#Headers],[Brand]]="Device Type",VLOOKUP(DataCD[[#This Row],[Placement]],Map_Placement[],3,0),
IF(DataCD[[#Headers],[Brand]]="Creative Size",VLOOKUP(DataCD[[#This Row],[Placement]],Map_Placement[],2,0),"Not a mapping option.")))))),
"[Unmapped]")</f>
        <v>[Unmapped]</v>
      </c>
      <c r="C16" s="45" t="s">
        <v>10</v>
      </c>
      <c r="D16" s="46" t="s">
        <v>153</v>
      </c>
      <c r="E16" s="46" t="s">
        <v>10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49">
        <v>0.7</v>
      </c>
      <c r="L16" s="49">
        <v>0.98</v>
      </c>
      <c r="M16" s="49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2:121" s="11" customFormat="1" ht="15" customHeight="1" x14ac:dyDescent="0.25">
      <c r="B17" s="50"/>
      <c r="C17" s="50"/>
      <c r="D17" s="50"/>
      <c r="E17" s="50"/>
      <c r="F17" s="50"/>
      <c r="G17" s="50"/>
      <c r="H17" s="50"/>
      <c r="I17" s="10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5"/>
    </row>
    <row r="18" spans="2:121" s="11" customFormat="1" ht="15" customHeight="1" x14ac:dyDescent="0.25">
      <c r="B18" s="50"/>
      <c r="C18" s="50"/>
      <c r="D18" s="50"/>
      <c r="E18" s="50"/>
      <c r="F18" s="50"/>
      <c r="G18" s="50"/>
      <c r="H18" s="50"/>
      <c r="I18" s="10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5"/>
    </row>
    <row r="21" spans="2:121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7">
    <mergeCell ref="G7:I7"/>
    <mergeCell ref="G6:I6"/>
    <mergeCell ref="A12:D12"/>
    <mergeCell ref="B7:D7"/>
    <mergeCell ref="G13:I13"/>
    <mergeCell ref="G12:I12"/>
    <mergeCell ref="G8:I8"/>
  </mergeCells>
  <conditionalFormatting sqref="K16:AA16">
    <cfRule type="cellIs" dxfId="191" priority="8" operator="equal">
      <formula>""</formula>
    </cfRule>
  </conditionalFormatting>
  <conditionalFormatting sqref="A1:XFD6 B9:XFD9 A10:XFD1048576 A8:XFD8 A7:J7 AB7:XFD7">
    <cfRule type="expression" dxfId="190" priority="7">
      <formula>ISERROR(A1)</formula>
    </cfRule>
  </conditionalFormatting>
  <conditionalFormatting sqref="K16:AA16 K9:AA11">
    <cfRule type="expression" dxfId="189" priority="10">
      <formula>IF(K$7="N/A",0,IF(K$7="Above",K9&lt;=(1-$J$4)*K$8,K9&gt;=(1+$J$4)*K$8))</formula>
    </cfRule>
    <cfRule type="expression" dxfId="188" priority="11">
      <formula>IF(OR(K$7="N/A",K9=0),0,IF(K$7="Above",K9&gt;=(1+$J$3)*K$8,K9&lt;=(1-$J$3)*K$8))</formula>
    </cfRule>
  </conditionalFormatting>
  <conditionalFormatting sqref="K7:AA7">
    <cfRule type="expression" dxfId="187" priority="1">
      <formula>ISERROR(K7)</formula>
    </cfRule>
  </conditionalFormatting>
  <dataValidations count="8">
    <dataValidation allowBlank="1" showInputMessage="1" showErrorMessage="1" errorTitle="Invalid Entry" error="Please select/enter a value from 1 to 5 from the dropdown." sqref="J9 K10:AA11 J11 G9 G11 AB12:XFD13 A13:D13" xr:uid="{00000000-0002-0000-0600-000000000000}"/>
    <dataValidation type="list" allowBlank="1" showInputMessage="1" showErrorMessage="1" errorTitle="Invalid Entry" error="Please select/enter a value from 1 to 5 from the dropdown." sqref="J10" xr:uid="{00000000-0002-0000-06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600-000002000000}">
      <formula1>"0,1,2,3,4,5"</formula1>
    </dataValidation>
    <dataValidation type="list" allowBlank="1" showInputMessage="1" showErrorMessage="1" sqref="B15" xr:uid="{00000000-0002-0000-0600-000003000000}">
      <formula1>"Brand, Region (Team), Region (Campaign)"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6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600-000006000000}"/>
    <dataValidation allowBlank="1" showInputMessage="1" showErrorMessage="1" prompt="Cell will highlight red if performance deviates by more than this percentage of the client goal." sqref="J4" xr:uid="{00000000-0002-0000-0600-000007000000}"/>
    <dataValidation type="list" allowBlank="1" showInputMessage="1" showErrorMessage="1" sqref="X27" xr:uid="{00000000-0002-0000-06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7A1F0ED4-4DAA-4903-BC1A-70ACBADA41B8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4" width="30.453125" style="50" hidden="1" customWidth="1"/>
    <col min="5" max="5" width="49" style="50" customWidth="1"/>
    <col min="6" max="6" width="3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2"/>
      <c r="E1" s="52"/>
      <c r="F1" s="13" t="s">
        <v>21</v>
      </c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2"/>
      <c r="E2" s="52"/>
      <c r="F2" s="16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2"/>
      <c r="E3" s="52"/>
      <c r="F3" s="16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2"/>
      <c r="E4" s="52"/>
      <c r="F4" s="16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2"/>
      <c r="E5" s="52"/>
      <c r="F5" s="16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A6" s="22"/>
      <c r="B6" s="77" t="s">
        <v>155</v>
      </c>
      <c r="C6" s="77"/>
      <c r="D6" s="70" t="s">
        <v>155</v>
      </c>
      <c r="E6" s="80" t="s">
        <v>155</v>
      </c>
      <c r="F6" s="28"/>
      <c r="G6" s="264" t="s">
        <v>133</v>
      </c>
      <c r="H6" s="265"/>
      <c r="I6" s="266"/>
      <c r="J6" s="24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64"/>
      <c r="B7" s="65"/>
      <c r="C7" s="65"/>
      <c r="D7" s="65"/>
      <c r="E7" s="101"/>
      <c r="F7" s="28"/>
      <c r="G7" s="261" t="s">
        <v>132</v>
      </c>
      <c r="H7" s="262"/>
      <c r="I7" s="263"/>
      <c r="J7" s="54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65" customHeight="1" x14ac:dyDescent="0.35">
      <c r="A8" s="22"/>
      <c r="B8" s="70"/>
      <c r="C8" s="70"/>
      <c r="D8" s="70"/>
      <c r="E8" s="81" t="str">
        <f ca="1">MID(CELL("filename",A1),FIND("]",CELL("filename",A1))+1,255)&amp;" Level Scorecard"</f>
        <v>Partner &amp; Device Level Scorecard</v>
      </c>
      <c r="F8" s="28"/>
      <c r="G8" s="241" t="s">
        <v>132</v>
      </c>
      <c r="H8" s="242"/>
      <c r="I8" s="268"/>
      <c r="J8" s="127" t="s">
        <v>16</v>
      </c>
      <c r="K8" s="128">
        <f>VLOOKUP(K6,Benchmark_Legend[],MATCH(ColumnPD[[#This Row],[Metric]],Benchmark_Legend[#Headers],0),0)</f>
        <v>0.7</v>
      </c>
      <c r="L8" s="128">
        <f>VLOOKUP(L6,Benchmark_Legend[],MATCH(ColumnPD[[#This Row],[Metric]],Benchmark_Legend[#Headers],0),0)</f>
        <v>0.98</v>
      </c>
      <c r="M8" s="128">
        <f>VLOOKUP(M6,Benchmark_Legend[],MATCH(ColumnPD[[#This Row],[Metric]],Benchmark_Legend[#Headers],0),0)</f>
        <v>0.95</v>
      </c>
      <c r="N8" s="128">
        <f>VLOOKUP(N6,Benchmark_Legend[],MATCH(ColumnPD[[#This Row],[Metric]],Benchmark_Legend[#Headers],0),0)</f>
        <v>0.05</v>
      </c>
      <c r="O8" s="128">
        <f>VLOOKUP(O6,Benchmark_Legend[],MATCH(ColumnPD[[#This Row],[Metric]],Benchmark_Legend[#Headers],0),0)</f>
        <v>0.02</v>
      </c>
      <c r="P8" s="128">
        <f>VLOOKUP(P6,Benchmark_Legend[],MATCH(ColumnPD[[#This Row],[Metric]],Benchmark_Legend[#Headers],0),0)</f>
        <v>0.02</v>
      </c>
      <c r="Q8" s="128">
        <f>VLOOKUP(Q6,Benchmark_Legend[],MATCH(ColumnPD[[#This Row],[Metric]],Benchmark_Legend[#Headers],0),0)</f>
        <v>0.01</v>
      </c>
      <c r="R8" s="128">
        <f>VLOOKUP(R6,Benchmark_Legend[],MATCH(ColumnPD[[#This Row],[Metric]],Benchmark_Legend[#Headers],0),0)</f>
        <v>0.01</v>
      </c>
      <c r="S8" s="128">
        <f>VLOOKUP(S6,Benchmark_Legend[],MATCH(ColumnPD[[#This Row],[Metric]],Benchmark_Legend[#Headers],0),0)</f>
        <v>0.01</v>
      </c>
      <c r="T8" s="128">
        <f>VLOOKUP(T6,Benchmark_Legend[],MATCH(ColumnPD[[#This Row],[Metric]],Benchmark_Legend[#Headers],0),0)</f>
        <v>0.03</v>
      </c>
      <c r="U8" s="128">
        <f>VLOOKUP(U6,Benchmark_Legend[],MATCH(ColumnPD[[#This Row],[Metric]],Benchmark_Legend[#Headers],0),0)</f>
        <v>0.55000000000000004</v>
      </c>
      <c r="V8" s="128">
        <f>VLOOKUP(V6,Benchmark_Legend[],MATCH(ColumnPD[[#This Row],[Metric]],Benchmark_Legend[#Headers],0),0)</f>
        <v>0.6</v>
      </c>
      <c r="W8" s="128">
        <f>VLOOKUP(W6,Benchmark_Legend[],MATCH(ColumnPD[[#This Row],[Metric]],Benchmark_Legend[#Headers],0),0)</f>
        <v>0.5</v>
      </c>
      <c r="X8" s="128">
        <f>VLOOKUP(X6,Benchmark_Legend[],MATCH(ColumnPD[[#This Row],[Metric]],Benchmark_Legend[#Headers],0),0)</f>
        <v>0.35</v>
      </c>
      <c r="Y8" s="128">
        <f>VLOOKUP(Y6,Benchmark_Legend[],MATCH(ColumnPD[[#This Row],[Metric]],Benchmark_Legend[#Headers],0),0)</f>
        <v>0.25</v>
      </c>
      <c r="Z8" s="128">
        <f>VLOOKUP(Z6,Benchmark_Legend[],MATCH(ColumnPD[[#This Row],[Metric]],Benchmark_Legend[#Headers],0),0)</f>
        <v>0.35</v>
      </c>
      <c r="AA8" s="128">
        <f>VLOOKUP(AA6,Benchmark_Legend[],MATCH(ColumnPD[[#This Row],[Metric]],Benchmark_Legend[#Headers],0),0)</f>
        <v>0.25</v>
      </c>
      <c r="AB8" s="26"/>
    </row>
    <row r="9" spans="1:121" s="18" customFormat="1" ht="15.65" customHeight="1" thickBot="1" x14ac:dyDescent="0.4">
      <c r="A9" s="67" t="e">
        <f>RIGHT(#REF!,7)</f>
        <v>#REF!</v>
      </c>
      <c r="B9" s="68"/>
      <c r="C9" s="68"/>
      <c r="D9" s="68"/>
      <c r="E9" s="79" t="s">
        <v>154</v>
      </c>
      <c r="F9" s="66"/>
      <c r="G9" s="118" t="s">
        <v>14</v>
      </c>
      <c r="H9" s="119"/>
      <c r="I9" s="120"/>
      <c r="J9" s="113" t="s">
        <v>130</v>
      </c>
      <c r="K9" s="100">
        <f t="array" aca="1" ref="K9" ca="1">SUM(
IF((DataPD[Measured Rate 
'[% Measured']]&lt;&gt;"NULL"),
DataPD[Measured Rate 
'[% Measured']]*
SUBTOTAL(9,OFFSET(DataPD[Total Impressions],ROW(DataPD[Total Impressions])-MIN(ROW(DataPD[Total Impressions])),0,1))))
/
SUM(
IF((DataPD[Measured Rate 
'[% Measured']]&lt;&gt;"NULL"),
SUBTOTAL(9,OFFSET(DataPD[Total Impressions],ROW(DataPD[Total Impressions])-MIN(ROW(DataPD[Total Impressions])),0,1))))</f>
        <v>0.7</v>
      </c>
      <c r="L9" s="100">
        <f t="array" aca="1" ref="L9" ca="1">SUM(
IF((DataPD[See-Through Rate 
'[% Visible']]&lt;&gt;"NULL"),
DataPD[See-Through Rate 
'[% Visible']]*
SUBTOTAL(9,OFFSET(DataPD[Total Impressions],ROW(DataPD[Total Impressions])-MIN(ROW(DataPD[Total Impressions])),0,1))))
/
SUM(
IF((DataPD[See-Through Rate 
'[% Visible']]&lt;&gt;"NULL"),
SUBTOTAL(9,OFFSET(DataPD[Total Impressions],ROW(DataPD[Total Impressions])-MIN(ROW(DataPD[Total Impressions])),0,1))))</f>
        <v>0.98</v>
      </c>
      <c r="M9" s="112">
        <f t="array" aca="1" ref="M9" ca="1">SUM(
IF((DataPD[Brand Safety 
'[% Passed']]&lt;&gt;"NULL"),
DataPD[Brand Safety 
'[% Passed']]*
SUBTOTAL(9,OFFSET(DataPD[Total Impressions],ROW(DataPD[Total Impressions])-MIN(ROW(DataPD[Total Impressions])),0,1))))
/
SUM(
IF((DataPD[Brand Safety 
'[% Passed']]&lt;&gt;"NULL"),
SUBTOTAL(9,OFFSET(DataPD[Total Impressions],ROW(DataPD[Total Impressions])-MIN(ROW(DataPD[Total Impressions])),0,1))))</f>
        <v>0.95</v>
      </c>
      <c r="N9" s="112">
        <f t="array" aca="1" ref="N9" ca="1">SUM(
IF((DataPD[Brand Safety 
'[% Failed']]&lt;&gt;"NULL"),
DataPD[Brand Safety 
'[% Failed']]*
SUBTOTAL(9,OFFSET(DataPD[Total Impressions],ROW(DataPD[Total Impressions])-MIN(ROW(DataPD[Total Impressions])),0,1))))
/
SUM(
IF((DataPD[Brand Safety 
'[% Failed']]&lt;&gt;"NULL"),
SUBTOTAL(9,OFFSET(DataPD[Total Impressions],ROW(DataPD[Total Impressions])-MIN(ROW(DataPD[Total Impressions])),0,1))))</f>
        <v>0.05</v>
      </c>
      <c r="O9" s="112">
        <f t="array" aca="1" ref="O9" ca="1">SUM(
IF((DataPD[Brand Safety 
'[% Failed by Content']]&lt;&gt;"NULL"),
DataPD[Brand Safety 
'[% Failed by Content']]*
SUBTOTAL(9,OFFSET(DataPD[Total Impressions],ROW(DataPD[Total Impressions])-MIN(ROW(DataPD[Total Impressions])),0,1))))
/
SUM(
IF((DataPD[Brand Safety 
'[% Failed by Content']]&lt;&gt;"NULL"),
SUBTOTAL(9,OFFSET(DataPD[Total Impressions],ROW(DataPD[Total Impressions])-MIN(ROW(DataPD[Total Impressions])),0,1))))</f>
        <v>0.02</v>
      </c>
      <c r="P9" s="112">
        <f t="array" aca="1" ref="P9" ca="1">SUM(
IF((DataPD[Brand Safety 
'[% Failed by Geo']]&lt;&gt;"NULL"),
DataPD[Brand Safety 
'[% Failed by Geo']]*
SUBTOTAL(9,OFFSET(DataPD[Total Impressions],ROW(DataPD[Total Impressions])-MIN(ROW(DataPD[Total Impressions])),0,1))))
/
SUM(
IF((DataPD[Brand Safety 
'[% Failed by Geo']]&lt;&gt;"NULL"),
SUBTOTAL(9,OFFSET(DataPD[Total Impressions],ROW(DataPD[Total Impressions])-MIN(ROW(DataPD[Total Impressions])),0,1))))</f>
        <v>0.02</v>
      </c>
      <c r="Q9" s="100">
        <f t="array" aca="1" ref="Q9" ca="1">SUM(
IF((DataPD[Brand Safety 
'[% Failed by Keyword']]&lt;&gt;"NULL"),
DataPD[Brand Safety 
'[% Failed by Keyword']]*
SUBTOTAL(9,OFFSET(DataPD[Total Impressions],ROW(DataPD[Total Impressions])-MIN(ROW(DataPD[Total Impressions])),0,1))))
/
SUM(
IF((DataPD[Brand Safety 
'[% Failed by Keyword']]&lt;&gt;"NULL"),
SUBTOTAL(9,OFFSET(DataPD[Total Impressions],ROW(DataPD[Total Impressions])-MIN(ROW(DataPD[Total Impressions])),0,1))))</f>
        <v>0.01</v>
      </c>
      <c r="R9" s="100">
        <f t="array" aca="1" ref="R9" ca="1">SUM(
IF((DataPD[Brand Safety 
'[% Failed by Blacklist']]&lt;&gt;"NULL"),
DataPD[Brand Safety 
'[% Failed by Blacklist']]*
SUBTOTAL(9,OFFSET(DataPD[Total Impressions],ROW(DataPD[Total Impressions])-MIN(ROW(DataPD[Total Impressions])),0,1))))
/
SUM(
IF((DataPD[Brand Safety 
'[% Failed by Blacklist']]&lt;&gt;"NULL"),
SUBTOTAL(9,OFFSET(DataPD[Total Impressions],ROW(DataPD[Total Impressions])-MIN(ROW(DataPD[Total Impressions])),0,1))))</f>
        <v>0.01</v>
      </c>
      <c r="S9" s="100">
        <f t="array" aca="1" ref="S9" ca="1">SUM(
IF((DataPD[Brand Safety 
'[% Failed by Language']]&lt;&gt;"NULL"),
DataPD[Brand Safety 
'[% Failed by Language']]*
SUBTOTAL(9,OFFSET(DataPD[Total Impressions],ROW(DataPD[Total Impressions])-MIN(ROW(DataPD[Total Impressions])),0,1))))
/
SUM(
IF((DataPD[Brand Safety 
'[% Failed by Language']]&lt;&gt;"NULL"),
SUBTOTAL(9,OFFSET(DataPD[Total Impressions],ROW(DataPD[Total Impressions])-MIN(ROW(DataPD[Total Impressions])),0,1))))</f>
        <v>0.01</v>
      </c>
      <c r="T9" s="100">
        <f t="array" aca="1" ref="T9" ca="1">SUM(
IF((DataPD[Fraud 
'[% Fraud']]&lt;&gt;"NULL"),
DataPD[Fraud 
'[% Fraud']]*
SUBTOTAL(9,OFFSET(DataPD[Total Impressions],ROW(DataPD[Total Impressions])-MIN(ROW(DataPD[Total Impressions])),0,1))))
/
SUM(
IF((DataPD[Fraud 
'[% Fraud']]&lt;&gt;"NULL"),
SUBTOTAL(9,OFFSET(DataPD[Total Impressions],ROW(DataPD[Total Impressions])-MIN(ROW(DataPD[Total Impressions])),0,1))))</f>
        <v>0.03</v>
      </c>
      <c r="U9" s="100">
        <f t="array" aca="1" ref="U9" ca="1">SUM(
IF((DataPD[Viewability 
'[Total Viewable Rate (Total Net Metrics)']]&lt;&gt;"NULL"),
DataPD[Viewability 
'[Total Viewable Rate (Total Net Metrics)']]*SUBTOTAL(9,OFFSET(DataPD[Measured Impressions],ROW(DataPD[Measured Impressions])-MIN(ROW(DataPD[Measured Impressions])),0,1))))
/
SUM(
IF((DataPD[Viewability 
'[Total Viewable Rate (Total Net Metrics)']]&lt;&gt;"NULL"),
SUBTOTAL(9,OFFSET(DataPD[Measured Impressions],ROW(DataPD[Measured Impressions])-MIN(ROW(DataPD[Measured Impressions])),0,1))))</f>
        <v>0.55000000000000004</v>
      </c>
      <c r="V9" s="100">
        <f t="array" aca="1" ref="V9" ca="1">SUM(
IF((DataPD[Display Viewability 
'[Total Viewable Rate (Total Net Metrics)']]&lt;&gt;"NULL"),
DataPD[Display Viewability 
'[Total Viewable Rate (Total Net Metrics)']]*SUBTOTAL(9,OFFSET(DataPD[Measured Impressions],ROW(DataPD[Measured Impressions])-MIN(ROW(DataPD[Measured Impressions])),0,1))))
/
SUM(
IF((DataPD[Display Viewability 
'[Total Viewable Rate (Total Net Metrics)']]&lt;&gt;"NULL"),
SUBTOTAL(9,OFFSET(DataPD[Measured Impressions],ROW(DataPD[Measured Impressions])-MIN(ROW(DataPD[Measured Impressions])),0,1))))</f>
        <v>0.6</v>
      </c>
      <c r="W9" s="112">
        <f t="array" aca="1" ref="W9" ca="1">SUM(
IF((DataPD[Video Viewability 
'[Total Viewable Rate (Total Net Metrics)']]&lt;&gt;"NULL"),
DataPD[Video Viewability 
'[Total Viewable Rate (Total Net Metrics)']]*SUBTOTAL(9,OFFSET(DataPD[Measured Impressions],ROW(DataPD[Measured Impressions])-MIN(ROW(DataPD[Measured Impressions])),0,1))))
/
SUM(
IF((DataPD[Video Viewability 
'[Total Viewable Rate (Total Net Metrics)']]&lt;&gt;"NULL"),
SUBTOTAL(9,OFFSET(DataPD[Measured Impressions],ROW(DataPD[Measured Impressions])-MIN(ROW(DataPD[Measured Impressions])),0,1))))</f>
        <v>0.5</v>
      </c>
      <c r="X9" s="100">
        <f t="array" aca="1" ref="X9" ca="1">SUM(
IF((DataPD[GroupM Viewability 
'[% Display Ads Fully in View']]&lt;&gt;"NULL"),
DataPD[GroupM Viewability 
'[% Display Ads Fully in View']]*SUBTOTAL(9,OFFSET(DataPD[Measured Impressions],ROW(DataPD[Measured Impressions])-MIN(ROW(DataPD[Measured Impressions])),0,1))))
/
SUM(
IF((DataPD[GroupM Viewability 
'[% Display Ads Fully in View']]&lt;&gt;"NULL"),
SUBTOTAL(9,OFFSET(DataPD[Measured Impressions],ROW(DataPD[Measured Impressions])-MIN(ROW(DataPD[Measured Impressions])),0,1))))</f>
        <v>0.35</v>
      </c>
      <c r="Y9" s="112">
        <f t="array" aca="1" ref="Y9" ca="1">SUM(
IF((DataPD[GroupM Viewability 
'[% Videos Fully in View']]&lt;&gt;"NULL"),
DataPD[GroupM Viewability 
'[% Videos Fully in View']]*SUBTOTAL(9,OFFSET(DataPD[Measured Impressions],ROW(DataPD[Measured Impressions])-MIN(ROW(DataPD[Measured Impressions])),0,1))))
/
SUM(
IF((DataPD[GroupM Viewability 
'[% Videos Fully in View']]&lt;&gt;"NULL"),
SUBTOTAL(9,OFFSET(DataPD[Measured Impressions],ROW(DataPD[Measured Impressions])-MIN(ROW(DataPD[Measured Impressions])),0,1))))</f>
        <v>0.25</v>
      </c>
      <c r="Z9" s="100">
        <f t="array" aca="1" ref="Z9" ca="1">SUM(
IF((DataPD[Publicis Viewability 
'[% Display Ads Fully in View']]&lt;&gt;"NULL"),
DataPD[Publicis Viewability 
'[% Display Ads Fully in View']]*SUBTOTAL(9,OFFSET(DataPD[Measured Impressions],ROW(DataPD[Measured Impressions])-MIN(ROW(DataPD[Measured Impressions])),0,1))))
/
SUM(
IF((DataPD[Publicis Viewability 
'[% Display Ads Fully in View']]&lt;&gt;"NULL"),
SUBTOTAL(9,OFFSET(DataPD[Measured Impressions],ROW(DataPD[Measured Impressions])-MIN(ROW(DataPD[Measured Impressions])),0,1))))</f>
        <v>0.35</v>
      </c>
      <c r="AA9" s="100">
        <f t="array" aca="1" ref="AA9" ca="1">SUM(
IF((DataPD[Publicis Viewability 
'[% Videos Fully in View']]&lt;&gt;"NULL"),
DataPD[Publicis Viewability 
'[% Videos Fully in View']]*SUBTOTAL(9,OFFSET(DataPD[Measured Impressions],ROW(DataPD[Measured Impressions])-MIN(ROW(DataPD[Measured Impressions])),0,1))))
/
SUM(
IF((DataPD[Publicis Viewability 
'[% Videos Fully in View']]&lt;&gt;"NULL"),
SUBTOTAL(9,OFFSET(DataPD[Measured Impressions],ROW(DataPD[Measured Impressions])-MIN(ROW(DataPD[Measured Impressions])),0,1))))</f>
        <v>0.25</v>
      </c>
      <c r="AB9" s="26"/>
    </row>
    <row r="10" spans="1:121" s="18" customFormat="1" ht="15.75" hidden="1" customHeight="1" x14ac:dyDescent="0.35">
      <c r="A10" s="67"/>
      <c r="B10" s="68"/>
      <c r="C10" s="68"/>
      <c r="D10" s="68"/>
      <c r="E10" s="68"/>
      <c r="F10" s="66"/>
      <c r="G10" s="116"/>
      <c r="H10" s="116"/>
      <c r="I10" s="117"/>
      <c r="J10" s="102" t="s">
        <v>126</v>
      </c>
      <c r="K10" s="31">
        <f t="array" aca="1" ref="K10" ca="1">SUM(
IF(DataPD[Measured Rate 
'[% Measured']]&lt;&gt;"NULL",
IF(DataPD[Device Type]=ColumnPD[[#This Row],[Metric]],
DataPD[Measured Rate 
'[% Measured']]*
SUBTOTAL(9,OFFSET(DataPD[Total Impressions],ROW(DataPD[Total Impressions])-MIN(ROW(DataPD[Total Impressions])),0,1)))))
/
SUM(
IF(DataPD[Measured Rate 
'[% Measured']]&lt;&gt;"NULL",
IF(DataPD[Device Type]=ColumnPD[[#This Row],[Metric]],
SUBTOTAL(9,OFFSET(DataPD[Total Impressions],ROW(DataPD[Total Impressions])-MIN(ROW(DataPD[Total Impressions])),0,1)))))</f>
        <v>0.7</v>
      </c>
      <c r="L10" s="32">
        <f t="array" aca="1" ref="L10" ca="1">SUM(
IF(DataPD[See-Through Rate 
'[% Visible']]&lt;&gt;"NULL",
IF(DataPD[Device Type]=ColumnPD[[#This Row],[Metric]],
DataPD[See-Through Rate 
'[% Visible']]*
SUBTOTAL(9,OFFSET(DataPD[Total Impressions],ROW(DataPD[Total Impressions])-MIN(ROW(DataPD[Total Impressions])),0,1)))))
/
SUM(
IF(DataPD[See-Through Rate 
'[% Visible']]&lt;&gt;"NULL",
IF(DataPD[Device Type]=ColumnPD[[#This Row],[Metric]],
SUBTOTAL(9,OFFSET(DataPD[Total Impressions],ROW(DataPD[Total Impressions])-MIN(ROW(DataPD[Total Impressions])),0,1)))))</f>
        <v>0.98</v>
      </c>
      <c r="M10" s="32">
        <f t="array" aca="1" ref="M10" ca="1">SUM(
IF(DataPD[Brand Safety 
'[% Passed']]&lt;&gt;"NULL",
IF(DataPD[Device Type]=ColumnPD[[#This Row],[Metric]],
DataPD[Brand Safety 
'[% Passed']]*
SUBTOTAL(9,OFFSET(DataPD[Total Impressions],ROW(DataPD[Total Impressions])-MIN(ROW(DataPD[Total Impressions])),0,1)))))
/
SUM(
IF(DataPD[Brand Safety 
'[% Passed']]&lt;&gt;"NULL",
IF(DataPD[Device Type]=ColumnPD[[#This Row],[Metric]],
SUBTOTAL(9,OFFSET(DataPD[Total Impressions],ROW(DataPD[Total Impressions])-MIN(ROW(DataPD[Total Impressions])),0,1)))))</f>
        <v>0.95</v>
      </c>
      <c r="N10" s="32">
        <f t="array" aca="1" ref="N10" ca="1">SUM(
IF(DataPD[Brand Safety 
'[% Failed']]&lt;&gt;"NULL",
IF(DataPD[Device Type]=ColumnPD[[#This Row],[Metric]],
DataPD[Brand Safety 
'[% Failed']]*
SUBTOTAL(9,OFFSET(DataPD[Total Impressions],ROW(DataPD[Total Impressions])-MIN(ROW(DataPD[Total Impressions])),0,1)))))
/
SUM(
IF(DataPD[Brand Safety 
'[% Failed']]&lt;&gt;"NULL",
IF(DataPD[Device Type]=ColumnPD[[#This Row],[Metric]],
SUBTOTAL(9,OFFSET(DataPD[Total Impressions],ROW(DataPD[Total Impressions])-MIN(ROW(DataPD[Total Impressions])),0,1)))))</f>
        <v>0.05</v>
      </c>
      <c r="O10" s="32">
        <f t="array" aca="1" ref="O10" ca="1">SUM(
IF(DataPD[Brand Safety 
'[% Failed by Content']]&lt;&gt;"NULL",
IF(DataPD[Device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IF(DataPD[Device Type]=ColumnPD[[#This Row],[Metric]],
SUBTOTAL(9,OFFSET(DataPD[Total Impressions],ROW(DataPD[Total Impressions])-MIN(ROW(DataPD[Total Impressions])),0,1)))))</f>
        <v>0.02</v>
      </c>
      <c r="P10" s="32">
        <f t="array" aca="1" ref="P10" ca="1">SUM(
IF(DataPD[Brand Safety 
'[% Failed by Geo']]&lt;&gt;"NULL",
IF(DataPD[Device Type]=ColumnPD[[#This Row],[Metric]],
DataPD[Brand Safety 
'[% Failed by Geo']]*
SUBTOTAL(9,OFFSET(DataPD[Total Impressions],ROW(DataPD[Total Impressions])-MIN(ROW(DataPD[Total Impressions])),0,1)))))
/
SUM(
IF(DataPD[Brand Safety 
'[% Failed by Geo']]&lt;&gt;"NULL",
IF(DataPD[Device Type]=ColumnPD[[#This Row],[Metric]],
SUBTOTAL(9,OFFSET(DataPD[Total Impressions],ROW(DataPD[Total Impressions])-MIN(ROW(DataPD[Total Impressions])),0,1)))))</f>
        <v>0.02</v>
      </c>
      <c r="Q10" s="32">
        <f t="array" aca="1" ref="Q10" ca="1">SUM(
IF(DataPD[Brand Safety 
'[% Failed by Keyword']]&lt;&gt;"NULL",
IF(DataPD[Device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IF(DataPD[Device Type]=ColumnPD[[#This Row],[Metric]],
SUBTOTAL(9,OFFSET(DataPD[Total Impressions],ROW(DataPD[Total Impressions])-MIN(ROW(DataPD[Total Impressions])),0,1)))))</f>
        <v>0.01</v>
      </c>
      <c r="R10" s="32">
        <f t="array" aca="1" ref="R10" ca="1">SUM(
IF(DataPD[Brand Safety 
'[% Failed by Blacklist']]&lt;&gt;"NULL",
IF(DataPD[Device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IF(DataPD[Device Type]=ColumnPD[[#This Row],[Metric]],
SUBTOTAL(9,OFFSET(DataPD[Total Impressions],ROW(DataPD[Total Impressions])-MIN(ROW(DataPD[Total Impressions])),0,1)))))</f>
        <v>0.01</v>
      </c>
      <c r="S10" s="32">
        <f t="array" aca="1" ref="S10" ca="1">SUM(
IF(DataPD[Brand Safety 
'[% Failed by Language']]&lt;&gt;"NULL",
IF(DataPD[Device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IF(DataPD[Device Type]=ColumnPD[[#This Row],[Metric]],
SUBTOTAL(9,OFFSET(DataPD[Total Impressions],ROW(DataPD[Total Impressions])-MIN(ROW(DataPD[Total Impressions])),0,1)))))</f>
        <v>0.01</v>
      </c>
      <c r="T10" s="32">
        <f t="array" aca="1" ref="T10" ca="1">SUM(
IF(DataPD[Fraud 
'[% Fraud']]&lt;&gt;"NULL",
IF(DataPD[Device Type]=ColumnPD[[#This Row],[Metric]],
DataPD[Fraud 
'[% Fraud']]*
SUBTOTAL(9,OFFSET(DataPD[Total Impressions],ROW(DataPD[Total Impressions])-MIN(ROW(DataPD[Total Impressions])),0,1)))))
/
SUM(
IF(DataPD[Fraud 
'[% Fraud']]&lt;&gt;"NULL",
IF(DataPD[Device Type]=ColumnPD[[#This Row],[Metric]],
SUBTOTAL(9,OFFSET(DataPD[Total Impressions],ROW(DataPD[Total Impressions])-MIN(ROW(DataPD[Total Impressions])),0,1)))))</f>
        <v>0.03</v>
      </c>
      <c r="U10" s="32">
        <f t="array" aca="1" ref="U10" ca="1">SUM(
IF(DataPD[Viewability 
'[Total Viewable Rate (Total Net Metrics)']]&lt;&gt;"NULL",
IF(DataPD[Device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IF(DataPD[Device Type]=ColumnPD[[#This Row],[Metric]],
SUBTOTAL(9,OFFSET(DataPD[Total Impressions],ROW(DataPD[Total Impressions])-MIN(ROW(DataPD[Total Impressions])),0,1)))))</f>
        <v>0.55000000000000004</v>
      </c>
      <c r="V10" s="32">
        <f t="array" aca="1" ref="V10" ca="1">SUM(
IF(DataPD[Display Viewability 
'[Total Viewable Rate (Total Net Metrics)']]&lt;&gt;"NULL",
IF(DataPD[Device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IF(DataPD[Device Type]=ColumnPD[[#This Row],[Metric]],
SUBTOTAL(9,OFFSET(DataPD[Total Impressions],ROW(DataPD[Total Impressions])-MIN(ROW(DataPD[Total Impressions])),0,1)))))</f>
        <v>0.59999999999999987</v>
      </c>
      <c r="W10" s="32">
        <f t="array" aca="1" ref="W10" ca="1">SUM(
IF(DataPD[Video Viewability 
'[Total Viewable Rate (Total Net Metrics)']]&lt;&gt;"NULL",
IF(DataPD[Device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IF(DataPD[Device Type]=ColumnPD[[#This Row],[Metric]],
SUBTOTAL(9,OFFSET(DataPD[Total Impressions],ROW(DataPD[Total Impressions])-MIN(ROW(DataPD[Total Impressions])),0,1)))))</f>
        <v>0.5</v>
      </c>
      <c r="X10" s="32">
        <f t="array" aca="1" ref="X10" ca="1">SUM(
IF(DataPD[GroupM Viewability 
'[% Display Ads Fully in View']]&lt;&gt;"NULL",
IF(DataPD[Device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Y10" s="32">
        <f t="array" aca="1" ref="Y10" ca="1">SUM(
IF(DataPD[GroupM Viewability 
'[% Videos Fully in View']]&lt;&gt;"NULL",
IF(DataPD[Device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IF(DataPD[Device Type]=ColumnPD[[#This Row],[Metric]],
SUBTOTAL(9,OFFSET(DataPD[Total Impressions],ROW(DataPD[Total Impressions])-MIN(ROW(DataPD[Total Impressions])),0,1)))))</f>
        <v>0.25</v>
      </c>
      <c r="Z10" s="32">
        <f t="array" aca="1" ref="Z10" ca="1">SUM(
IF(DataPD[Publicis Viewability 
'[% Display Ads Fully in View']]&lt;&gt;"NULL",
IF(DataPD[Device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IF(DataPD[Device Type]=ColumnPD[[#This Row],[Metric]],
SUBTOTAL(9,OFFSET(DataPD[Total Impressions],ROW(DataPD[Total Impressions])-MIN(ROW(DataPD[Total Impressions])),0,1)))))</f>
        <v>0.35</v>
      </c>
      <c r="AA10" s="32">
        <f t="array" aca="1" ref="AA10" ca="1">SUM(
IF(DataPD[Publicis Viewability 
'[% Videos Fully in View']]&lt;&gt;"NULL",
IF(DataPD[Device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IF(DataPD[Device Type]=ColumnPD[[#This Row],[Metric]],
SUBTOTAL(9,OFFSET(DataPD[Total Impressions],ROW(DataPD[Total Impressions])-MIN(ROW(DataPD[Total Impressions])),0,1)))))</f>
        <v>0.25</v>
      </c>
      <c r="AB10" s="26"/>
    </row>
    <row r="11" spans="1:121" s="18" customFormat="1" ht="16.5" hidden="1" customHeight="1" x14ac:dyDescent="0.35">
      <c r="A11" s="67"/>
      <c r="B11" s="68"/>
      <c r="C11" s="68"/>
      <c r="D11" s="68"/>
      <c r="E11" s="68"/>
      <c r="F11" s="66"/>
      <c r="G11" s="116"/>
      <c r="H11" s="116"/>
      <c r="I11" s="117"/>
      <c r="J11" s="102" t="s">
        <v>140</v>
      </c>
      <c r="K11" s="31" t="e">
        <f t="array" aca="1" ref="K11" ca="1">SUM(
IF(DataPD[Measured Rate 
'[% Measured']]&lt;&gt;"NULL",
IF(DataPD[Partner Type]=ColumnPD[[#This Row],[Metric]],
DataPD[Measured Rate 
'[% Measured']]*
SUBTOTAL(9,OFFSET(DataPD[Total Impressions],ROW(DataPD[Total Impressions])-MIN(ROW(DataPD[Total Impressions])),0,1)))))
/
SUM(
IF(DataPD[Measured Rate 
'[% Measured']]&lt;&gt;"NULL",
IF(DataPD[Partner Type]=ColumnPD[[#This Row],[Metric]],
SUBTOTAL(9,OFFSET(DataPD[Total Impressions],ROW(DataPD[Total Impressions])-MIN(ROW(DataPD[Total Impressions])),0,1)))))</f>
        <v>#DIV/0!</v>
      </c>
      <c r="L11" s="32" t="e">
        <f t="array" aca="1" ref="L11" ca="1">SUM(
IF(DataPD[See-Through Rate 
'[% Visible']]&lt;&gt;"NULL",
IF(DataPD[Partner Type]=ColumnPD[[#This Row],[Metric]],
DataPD[See-Through Rate 
'[% Visible']]*
SUBTOTAL(9,OFFSET(DataPD[Total Impressions],ROW(DataPD[Total Impressions])-MIN(ROW(DataPD[Total Impressions])),0,1)))))
/
SUM(
IF(DataPD[See-Through Rate 
'[% Visible']]&lt;&gt;"NULL",
IF(DataPD[Partner Type]=ColumnPD[[#This Row],[Metric]],
SUBTOTAL(9,OFFSET(DataPD[Total Impressions],ROW(DataPD[Total Impressions])-MIN(ROW(DataPD[Total Impressions])),0,1)))))</f>
        <v>#DIV/0!</v>
      </c>
      <c r="M11" s="32" t="e">
        <f t="array" aca="1" ref="M11" ca="1">SUM(
IF(DataPD[Brand Safety 
'[% Passed']]&lt;&gt;"NULL",
IF(DataPD[Partner Type]=ColumnPD[[#This Row],[Metric]],
DataPD[Brand Safety 
'[% Passed']]*
SUBTOTAL(9,OFFSET(DataPD[Total Impressions],ROW(DataPD[Total Impressions])-MIN(ROW(DataPD[Total Impressions])),0,1)))))
/
SUM(
IF(DataPD[Brand Safety 
'[% Passed']]&lt;&gt;"NULL",
IF(DataPD[Partner Type]=ColumnPD[[#This Row],[Metric]],
SUBTOTAL(9,OFFSET(DataPD[Total Impressions],ROW(DataPD[Total Impressions])-MIN(ROW(DataPD[Total Impressions])),0,1)))))</f>
        <v>#DIV/0!</v>
      </c>
      <c r="N11" s="32" t="e">
        <f t="array" aca="1" ref="N11" ca="1">SUM(
IF(DataPD[Brand Safety 
'[% Failed']]&lt;&gt;"NULL",
IF(DataPD[Partner Type]=ColumnPD[[#This Row],[Metric]],
DataPD[Brand Safety 
'[% Failed']]*
SUBTOTAL(9,OFFSET(DataPD[Total Impressions],ROW(DataPD[Total Impressions])-MIN(ROW(DataPD[Total Impressions])),0,1)))))
/
SUM(
IF(DataPD[Brand Safety 
'[% Failed']]&lt;&gt;"NULL",
IF(DataPD[Partner Type]=ColumnPD[[#This Row],[Metric]],
SUBTOTAL(9,OFFSET(DataPD[Total Impressions],ROW(DataPD[Total Impressions])-MIN(ROW(DataPD[Total Impressions])),0,1)))))</f>
        <v>#DIV/0!</v>
      </c>
      <c r="O11" s="32" t="e">
        <f t="array" aca="1" ref="O11" ca="1">SUM(
IF(DataPD[Brand Safety 
'[% Failed by Content']]&lt;&gt;"NULL",
IF(DataPD[Partner Type]=ColumnPD[[#This Row],[Metric]],
DataPD[Brand Safety 
'[% Failed by Content']]*
SUBTOTAL(9,OFFSET(DataPD[Total Impressions],ROW(DataPD[Total Impressions])-MIN(ROW(DataPD[Total Impressions])),0,1)))))
/
SUM(
IF(DataPD[Brand Safety 
'[% Failed by Content']]&lt;&gt;"NULL",
IF(DataPD[Partner Type]=ColumnPD[[#This Row],[Metric]],
SUBTOTAL(9,OFFSET(DataPD[Total Impressions],ROW(DataPD[Total Impressions])-MIN(ROW(DataPD[Total Impressions])),0,1)))))</f>
        <v>#DIV/0!</v>
      </c>
      <c r="P11" s="32" t="e">
        <f t="array" aca="1" ref="P11" ca="1">SUM(
IF(DataPD[Brand Safety 
'[% Failed by Geo']]&lt;&gt;"NULL",
IF(DataPD[Partner Type]=ColumnPD[[#This Row],[Metric]],
DataPD[Brand Safety 
'[% Failed by Geo']]*
SUBTOTAL(9,OFFSET(DataPD[Total Impressions],ROW(DataPD[Total Impressions])-MIN(ROW(DataPD[Total Impressions])),0,1)))))
/
SUM(
IF(DataPD[Brand Safety 
'[% Failed by Geo']]&lt;&gt;"NULL",
IF(DataPD[Partner Type]=ColumnPD[[#This Row],[Metric]],
SUBTOTAL(9,OFFSET(DataPD[Total Impressions],ROW(DataPD[Total Impressions])-MIN(ROW(DataPD[Total Impressions])),0,1)))))</f>
        <v>#DIV/0!</v>
      </c>
      <c r="Q11" s="32" t="e">
        <f t="array" aca="1" ref="Q11" ca="1">SUM(
IF(DataPD[Brand Safety 
'[% Failed by Keyword']]&lt;&gt;"NULL",
IF(DataPD[Partner Type]=ColumnPD[[#This Row],[Metric]],
DataPD[Brand Safety 
'[% Failed by Keyword']]*
SUBTOTAL(9,OFFSET(DataPD[Total Impressions],ROW(DataPD[Total Impressions])-MIN(ROW(DataPD[Total Impressions])),0,1)))))
/
SUM(
IF(DataPD[Brand Safety 
'[% Failed by Keyword']]&lt;&gt;"NULL",
IF(DataPD[Partner Type]=ColumnPD[[#This Row],[Metric]],
SUBTOTAL(9,OFFSET(DataPD[Total Impressions],ROW(DataPD[Total Impressions])-MIN(ROW(DataPD[Total Impressions])),0,1)))))</f>
        <v>#DIV/0!</v>
      </c>
      <c r="R11" s="32" t="e">
        <f t="array" aca="1" ref="R11" ca="1">SUM(
IF(DataPD[Brand Safety 
'[% Failed by Blacklist']]&lt;&gt;"NULL",
IF(DataPD[Partner Type]=ColumnPD[[#This Row],[Metric]],
DataPD[Brand Safety 
'[% Failed by Blacklist']]*
SUBTOTAL(9,OFFSET(DataPD[Total Impressions],ROW(DataPD[Total Impressions])-MIN(ROW(DataPD[Total Impressions])),0,1)))))
/
SUM(
IF(DataPD[Brand Safety 
'[% Failed by Blacklist']]&lt;&gt;"NULL",
IF(DataPD[Partner Type]=ColumnPD[[#This Row],[Metric]],
SUBTOTAL(9,OFFSET(DataPD[Total Impressions],ROW(DataPD[Total Impressions])-MIN(ROW(DataPD[Total Impressions])),0,1)))))</f>
        <v>#DIV/0!</v>
      </c>
      <c r="S11" s="32" t="e">
        <f t="array" aca="1" ref="S11" ca="1">SUM(
IF(DataPD[Brand Safety 
'[% Failed by Language']]&lt;&gt;"NULL",
IF(DataPD[Partner Type]=ColumnPD[[#This Row],[Metric]],
DataPD[Brand Safety 
'[% Failed by Language']]*
SUBTOTAL(9,OFFSET(DataPD[Total Impressions],ROW(DataPD[Total Impressions])-MIN(ROW(DataPD[Total Impressions])),0,1)))))
/
SUM(
IF(DataPD[Brand Safety 
'[% Failed by Language']]&lt;&gt;"NULL",
IF(DataPD[Partner Type]=ColumnPD[[#This Row],[Metric]],
SUBTOTAL(9,OFFSET(DataPD[Total Impressions],ROW(DataPD[Total Impressions])-MIN(ROW(DataPD[Total Impressions])),0,1)))))</f>
        <v>#DIV/0!</v>
      </c>
      <c r="T11" s="32" t="e">
        <f t="array" aca="1" ref="T11" ca="1">SUM(
IF(DataPD[Fraud 
'[% Fraud']]&lt;&gt;"NULL",
IF(DataPD[Partner Type]=ColumnPD[[#This Row],[Metric]],
DataPD[Fraud 
'[% Fraud']]*
SUBTOTAL(9,OFFSET(DataPD[Total Impressions],ROW(DataPD[Total Impressions])-MIN(ROW(DataPD[Total Impressions])),0,1)))))
/
SUM(
IF(DataPD[Fraud 
'[% Fraud']]&lt;&gt;"NULL",
IF(DataPD[Partner Type]=ColumnPD[[#This Row],[Metric]],
SUBTOTAL(9,OFFSET(DataPD[Total Impressions],ROW(DataPD[Total Impressions])-MIN(ROW(DataPD[Total Impressions])),0,1)))))</f>
        <v>#DIV/0!</v>
      </c>
      <c r="U11" s="32" t="e">
        <f t="array" aca="1" ref="U11" ca="1">SUM(
IF(DataPD[Viewability 
'[Total Viewable Rate (Total Net Metrics)']]&lt;&gt;"NULL",
IF(DataPD[Partner Type]=ColumnPD[[#This Row],[Metric]],
DataPD[Viewability 
'[Total Viewable Rate (Total Net Metrics)']]*
SUBTOTAL(9,OFFSET(DataPD[Total Impressions],ROW(DataPD[Total Impressions])-MIN(ROW(DataPD[Total Impressions])),0,1)))))
/
SUM(
IF(DataPD[Viewability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V11" s="32" t="e">
        <f t="array" aca="1" ref="V11" ca="1">SUM(
IF(DataPD[Display Viewability 
'[Total Viewable Rate (Total Net Metrics)']]&lt;&gt;"NULL",
IF(DataPD[Partner Type]=ColumnPD[[#This Row],[Metric]],
DataPD[Display Viewability 
'[Total Viewable Rate (Total Net Metrics)']]*
SUBTOTAL(9,OFFSET(DataPD[Total Impressions],ROW(DataPD[Total Impressions])-MIN(ROW(DataPD[Total Impressions])),0,1)))))
/
SUM(
IF(DataPD[Display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W11" s="32" t="e">
        <f t="array" aca="1" ref="W11" ca="1">SUM(
IF(DataPD[Video Viewability 
'[Total Viewable Rate (Total Net Metrics)']]&lt;&gt;"NULL",
IF(DataPD[Partner Type]=ColumnPD[[#This Row],[Metric]],
DataPD[Video Viewability 
'[Total Viewable Rate (Total Net Metrics)']]*
SUBTOTAL(9,OFFSET(DataPD[Total Impressions],ROW(DataPD[Total Impressions])-MIN(ROW(DataPD[Total Impressions])),0,1)))))
/
SUM(
IF(DataPD[Video Viewability 
'[Total Viewable Rate (Total Net Metrics)']]&lt;&gt;"NULL",
IF(DataPD[Partner Type]=ColumnPD[[#This Row],[Metric]],
SUBTOTAL(9,OFFSET(DataPD[Total Impressions],ROW(DataPD[Total Impressions])-MIN(ROW(DataPD[Total Impressions])),0,1)))))</f>
        <v>#DIV/0!</v>
      </c>
      <c r="X11" s="32" t="e">
        <f t="array" aca="1" ref="X11" ca="1">SUM(
IF(DataPD[GroupM Viewability 
'[% Display Ads Fully in View']]&lt;&gt;"NULL",
IF(DataPD[Partner Type]=ColumnPD[[#This Row],[Metric]],
DataPD[GroupM Viewability 
'[% Display Ads Fully in View']]*
SUBTOTAL(9,OFFSET(DataPD[Total Impressions],ROW(DataPD[Total Impressions])-MIN(ROW(DataPD[Total Impressions])),0,1)))))
/
SUM(
IF(DataPD[GroupM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Y11" s="32" t="e">
        <f t="array" aca="1" ref="Y11" ca="1">SUM(
IF(DataPD[GroupM Viewability 
'[% Videos Fully in View']]&lt;&gt;"NULL",
IF(DataPD[Partner Type]=ColumnPD[[#This Row],[Metric]],
DataPD[GroupM Viewability 
'[% Videos Fully in View']]*
SUBTOTAL(9,OFFSET(DataPD[Total Impressions],ROW(DataPD[Total Impressions])-MIN(ROW(DataPD[Total Impressions])),0,1)))))
/
SUM(
IF(DataPD[GroupM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Z11" s="32" t="e">
        <f t="array" aca="1" ref="Z11" ca="1">SUM(
IF(DataPD[Publicis Viewability 
'[% Display Ads Fully in View']]&lt;&gt;"NULL",
IF(DataPD[Partner Type]=ColumnPD[[#This Row],[Metric]],
DataPD[Publicis Viewability 
'[% Display Ads Fully in View']]*
SUBTOTAL(9,OFFSET(DataPD[Total Impressions],ROW(DataPD[Total Impressions])-MIN(ROW(DataPD[Total Impressions])),0,1)))))
/
SUM(
IF(DataPD[Publicis Viewability 
'[% Display Ads Fully in View']]&lt;&gt;"NULL",
IF(DataPD[Partner Type]=ColumnPD[[#This Row],[Metric]],
SUBTOTAL(9,OFFSET(DataPD[Total Impressions],ROW(DataPD[Total Impressions])-MIN(ROW(DataPD[Total Impressions])),0,1)))))</f>
        <v>#DIV/0!</v>
      </c>
      <c r="AA11" s="32" t="e">
        <f t="array" aca="1" ref="AA11" ca="1">SUM(
IF(DataPD[Publicis Viewability 
'[% Videos Fully in View']]&lt;&gt;"NULL",
IF(DataPD[Partner Type]=ColumnPD[[#This Row],[Metric]],
DataPD[Publicis Viewability 
'[% Videos Fully in View']]*
SUBTOTAL(9,OFFSET(DataPD[Total Impressions],ROW(DataPD[Total Impressions])-MIN(ROW(DataPD[Total Impressions])),0,1)))))
/
SUM(
IF(DataPD[Publicis Viewability 
'[% Videos Fully in View']]&lt;&gt;"NULL",
IF(DataPD[Partner Type]=ColumnPD[[#This Row],[Metric]],
SUBTOTAL(9,OFFSET(DataPD[Total Impressions],ROW(DataPD[Total Impressions])-MIN(ROW(DataPD[Total Impressions])),0,1)))))</f>
        <v>#DIV/0!</v>
      </c>
      <c r="AB11" s="26"/>
    </row>
    <row r="12" spans="1:121" s="18" customFormat="1" ht="16.5" hidden="1" customHeight="1" x14ac:dyDescent="0.35">
      <c r="A12" s="244"/>
      <c r="B12" s="245"/>
      <c r="C12" s="245"/>
      <c r="D12" s="245"/>
      <c r="E12" s="53"/>
      <c r="F12" s="53"/>
      <c r="G12" s="238" t="s">
        <v>8</v>
      </c>
      <c r="H12" s="238"/>
      <c r="I12" s="26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6.5" hidden="1" customHeight="1" x14ac:dyDescent="0.35">
      <c r="A13" s="22"/>
      <c r="B13" s="33"/>
      <c r="C13" s="33"/>
      <c r="D13" s="69"/>
      <c r="E13" s="56"/>
      <c r="F13" s="53"/>
      <c r="G13" s="238" t="s">
        <v>8</v>
      </c>
      <c r="H13" s="238"/>
      <c r="I13" s="26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36"/>
      <c r="E14" s="55"/>
      <c r="F14" s="64"/>
      <c r="G14" s="55"/>
      <c r="H14" s="36"/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146</v>
      </c>
      <c r="C15" s="40" t="s">
        <v>20</v>
      </c>
      <c r="D15" s="40" t="s">
        <v>9</v>
      </c>
      <c r="E15" s="40" t="s">
        <v>141</v>
      </c>
      <c r="F15" s="40" t="s">
        <v>22</v>
      </c>
      <c r="G15" s="40" t="s">
        <v>38</v>
      </c>
      <c r="H15" s="39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x14ac:dyDescent="0.25">
      <c r="B16" s="43" t="str">
        <f>IFERROR(
IF(DataPD[[#Headers],[Partner Type]]="Brand",VLOOKUP(DataPD[[#This Row],[Campaign]],Map_Campaign[],2,0),
IF(DataPD[[#Headers],[Partner Type]]="Region (Team)",VLOOKUP(DataPD[[#This Row],[Team]],Map_Team[],2,0),
IF(DataPD[[#Headers],[Partner Type]]="Region (Campaign)",VLOOKUP(DataPD[[#This Row],[Campaign]],Map_Campaign[],3,0),
IF(DataPD[[#Headers],[Partner Type]]="Partner Type",VLOOKUP(DataPD[[#This Row],[Partner]],Map_Partner[],2,0),
IF(DataPD[[#Headers],[Partner Type]]="Device Type",VLOOKUP(DataPD[[#This Row],[Placement]],Map_Placement[],3,0),
IF(DataPD[[#Headers],[Partner Type]]="Creative Size",VLOOKUP(DataPD[[#This Row],[Placement]],Map_Placement[],2,0),"Not a mapping option.")))))),
"[Unmapped]")</f>
        <v>Direct</v>
      </c>
      <c r="C16" s="46" t="s">
        <v>10</v>
      </c>
      <c r="D16" s="46" t="s">
        <v>10</v>
      </c>
      <c r="E16" s="46" t="s">
        <v>142</v>
      </c>
      <c r="F16" s="46" t="s">
        <v>10</v>
      </c>
      <c r="G16" s="46" t="s">
        <v>126</v>
      </c>
      <c r="H16" s="46" t="s">
        <v>124</v>
      </c>
      <c r="I16" s="47">
        <v>292953764</v>
      </c>
      <c r="J16" s="48">
        <v>450881961</v>
      </c>
      <c r="K16" s="205">
        <v>0.7</v>
      </c>
      <c r="L16" s="206">
        <v>0.98</v>
      </c>
      <c r="M16" s="206">
        <v>0.95</v>
      </c>
      <c r="N16" s="49">
        <v>0.05</v>
      </c>
      <c r="O16" s="49">
        <v>0.02</v>
      </c>
      <c r="P16" s="49">
        <v>0.02</v>
      </c>
      <c r="Q16" s="49">
        <v>0.01</v>
      </c>
      <c r="R16" s="49">
        <v>0.01</v>
      </c>
      <c r="S16" s="49">
        <v>0.01</v>
      </c>
      <c r="T16" s="49">
        <v>0.03</v>
      </c>
      <c r="U16" s="49">
        <v>0.55000000000000004</v>
      </c>
      <c r="V16" s="49">
        <v>0.6</v>
      </c>
      <c r="W16" s="49">
        <v>0.5</v>
      </c>
      <c r="X16" s="49">
        <v>0.35</v>
      </c>
      <c r="Y16" s="49">
        <v>0.25</v>
      </c>
      <c r="Z16" s="49">
        <v>0.35</v>
      </c>
      <c r="AA16" s="49">
        <v>0.25</v>
      </c>
    </row>
    <row r="17" spans="6:13" ht="15" customHeight="1" x14ac:dyDescent="0.25">
      <c r="K17" s="10"/>
      <c r="L17" s="11"/>
      <c r="M17" s="11"/>
    </row>
    <row r="18" spans="6:13" ht="15" customHeight="1" x14ac:dyDescent="0.25">
      <c r="K18" s="10"/>
      <c r="L18" s="11"/>
      <c r="M18" s="11"/>
    </row>
    <row r="19" spans="6:13" ht="15" customHeight="1" x14ac:dyDescent="0.25">
      <c r="K19" s="10"/>
      <c r="L19" s="11"/>
      <c r="M19" s="11"/>
    </row>
    <row r="20" spans="6:13" ht="15" customHeight="1" x14ac:dyDescent="0.25">
      <c r="K20" s="10"/>
      <c r="L20" s="11"/>
      <c r="M20" s="11"/>
    </row>
    <row r="21" spans="6:13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6">
    <mergeCell ref="G6:I6"/>
    <mergeCell ref="G13:I13"/>
    <mergeCell ref="G12:I12"/>
    <mergeCell ref="A12:D12"/>
    <mergeCell ref="G8:I8"/>
    <mergeCell ref="G7:I7"/>
  </mergeCells>
  <conditionalFormatting sqref="N16:AA16">
    <cfRule type="cellIs" dxfId="132" priority="9" operator="equal">
      <formula>""</formula>
    </cfRule>
  </conditionalFormatting>
  <conditionalFormatting sqref="A21:XFD1048576 A16:J20 N16:XFD20 A1:XFD6 A8:XFD15 A7:J7 AB7:XFD7">
    <cfRule type="expression" dxfId="131" priority="8">
      <formula>ISERROR(A1)</formula>
    </cfRule>
  </conditionalFormatting>
  <conditionalFormatting sqref="N16:AA16 K9:AA11">
    <cfRule type="expression" dxfId="130" priority="11">
      <formula>IF(K$7="N/A",0,IF(K$7="Above",K9&lt;=(1-$J$4)*K$8,K9&gt;=(1+$J$4)*K$8))</formula>
    </cfRule>
    <cfRule type="expression" dxfId="129" priority="12">
      <formula>IF(OR(K$7="N/A",K9=0),0,IF(K$7="Above",K9&gt;=(1+$J$3)*K$8,K9&lt;=(1-$J$3)*K$8))</formula>
    </cfRule>
  </conditionalFormatting>
  <conditionalFormatting sqref="K16:M20">
    <cfRule type="expression" dxfId="128" priority="2">
      <formula>ISERROR(K16)</formula>
    </cfRule>
  </conditionalFormatting>
  <conditionalFormatting sqref="K7:AA7">
    <cfRule type="expression" dxfId="127" priority="1">
      <formula>ISERROR(K7)</formula>
    </cfRule>
  </conditionalFormatting>
  <dataValidations count="7">
    <dataValidation allowBlank="1" showInputMessage="1" showErrorMessage="1" errorTitle="Invalid Entry" error="Please select/enter a value from 1 to 5 from the dropdown." sqref="J9 K10:AA11 AB12:XFD13 J11 G9 A13:D13" xr:uid="{00000000-0002-0000-0700-000000000000}"/>
    <dataValidation allowBlank="1" showInputMessage="1" showErrorMessage="1" prompt="Cell will highlight red if performance deviates by more than this percentage of the client goal." sqref="J4" xr:uid="{00000000-0002-0000-0700-000001000000}"/>
    <dataValidation allowBlank="1" showInputMessage="1" showErrorMessage="1" prompt="Cell will highlight yellow if performance deviates by more than this percentage of the client goal." sqref="J3" xr:uid="{00000000-0002-0000-0700-000002000000}"/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700-000003000000}">
      <formula1>BMRK_List</formula1>
    </dataValidation>
    <dataValidation type="list" allowBlank="1" showInputMessage="1" showErrorMessage="1" errorTitle="Invalid Entry" error="Please select/enter a value from 1 to 5 from the dropdown." sqref="K13:AA13" xr:uid="{00000000-0002-0000-0700-000005000000}">
      <formula1>"0,1,2,3,4,5"</formula1>
    </dataValidation>
    <dataValidation type="list" allowBlank="1" showInputMessage="1" showErrorMessage="1" errorTitle="Invalid Entry" error="Please select/enter a value from 1 to 5 from the dropdown." sqref="J10" xr:uid="{00000000-0002-0000-0700-000006000000}">
      <formula1>DeviceDropdown</formula1>
    </dataValidation>
    <dataValidation type="list" allowBlank="1" showInputMessage="1" showErrorMessage="1" sqref="X27" xr:uid="{00000000-0002-0000-0700-000004000000}">
      <formula1>#REF!</formula1>
    </dataValidation>
  </dataValidations>
  <pageMargins left="0.7" right="0.7" top="0.75" bottom="0.75" header="0.3" footer="0.3"/>
  <pageSetup orientation="portrait"/>
  <drawing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0A6A607D-AA51-4FB5-9F90-12E14ED547A2}">
            <xm:f>NOT(ISERROR(SEARCH("NULL",N16)))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N16:AA16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DQ21"/>
  <sheetViews>
    <sheetView showGridLines="0" zoomScale="80" zoomScaleNormal="80" zoomScalePageLayoutView="80" workbookViewId="0">
      <pane xSplit="10" ySplit="15" topLeftCell="K16" activePane="bottomRight" state="frozen"/>
      <selection activeCell="K16" sqref="K16"/>
      <selection pane="topRight" activeCell="K16" sqref="K16"/>
      <selection pane="bottomLeft" activeCell="K16" sqref="K16"/>
      <selection pane="bottomRight" activeCell="K16" sqref="K16"/>
    </sheetView>
  </sheetViews>
  <sheetFormatPr defaultColWidth="8.81640625" defaultRowHeight="15" customHeight="1" x14ac:dyDescent="0.25"/>
  <cols>
    <col min="1" max="1" width="2.26953125" style="10" customWidth="1"/>
    <col min="2" max="2" width="17.453125" style="50" hidden="1" customWidth="1"/>
    <col min="3" max="3" width="20.81640625" style="50" hidden="1" customWidth="1"/>
    <col min="4" max="5" width="30.453125" style="50" customWidth="1"/>
    <col min="6" max="6" width="20.54296875" style="50" hidden="1" customWidth="1"/>
    <col min="7" max="7" width="21.7265625" style="50" customWidth="1"/>
    <col min="8" max="8" width="20.54296875" style="50" hidden="1" customWidth="1"/>
    <col min="9" max="9" width="24.453125" style="10" hidden="1" customWidth="1"/>
    <col min="10" max="10" width="24.453125" style="14" customWidth="1"/>
    <col min="11" max="46" width="23.453125" style="14" customWidth="1"/>
    <col min="47" max="78" width="17" style="14" customWidth="1"/>
    <col min="79" max="80" width="17.1796875" style="14" customWidth="1"/>
    <col min="81" max="101" width="17.1796875" style="10" customWidth="1"/>
    <col min="102" max="105" width="12.26953125" style="10" customWidth="1"/>
    <col min="106" max="113" width="12.453125" style="10" customWidth="1"/>
    <col min="114" max="120" width="8.81640625" style="10" customWidth="1"/>
    <col min="121" max="121" width="8.453125" style="15" customWidth="1"/>
    <col min="122" max="122" width="8.81640625" style="10" customWidth="1"/>
    <col min="123" max="16384" width="8.81640625" style="10"/>
  </cols>
  <sheetData>
    <row r="1" spans="1:121" ht="15.75" customHeight="1" thickBot="1" x14ac:dyDescent="0.3">
      <c r="B1" s="11"/>
      <c r="C1" s="11"/>
      <c r="D1" s="11"/>
      <c r="E1" s="52"/>
      <c r="F1" s="52"/>
      <c r="G1" s="52"/>
      <c r="H1" s="13" t="s">
        <v>21</v>
      </c>
      <c r="I1" s="13" t="s">
        <v>21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</row>
    <row r="2" spans="1:121" ht="15.75" customHeight="1" thickBot="1" x14ac:dyDescent="0.3">
      <c r="B2" s="11"/>
      <c r="C2" s="11"/>
      <c r="D2" s="11"/>
      <c r="E2" s="52"/>
      <c r="F2" s="52"/>
      <c r="G2" s="52"/>
      <c r="H2" s="16"/>
      <c r="I2" s="16"/>
      <c r="J2" s="17" t="s">
        <v>12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8"/>
      <c r="Y2" s="18"/>
      <c r="Z2" s="10"/>
      <c r="AA2" s="10"/>
      <c r="AB2" s="10"/>
      <c r="AC2" s="11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121" ht="15" customHeight="1" x14ac:dyDescent="0.25">
      <c r="B3" s="11"/>
      <c r="C3" s="11"/>
      <c r="D3" s="11"/>
      <c r="E3" s="52"/>
      <c r="F3" s="52"/>
      <c r="G3" s="52"/>
      <c r="H3" s="16"/>
      <c r="I3" s="16"/>
      <c r="J3" s="19">
        <v>0.3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8"/>
      <c r="Y3" s="18"/>
      <c r="Z3" s="10"/>
      <c r="AA3" s="10"/>
      <c r="AB3" s="10"/>
      <c r="AC3" s="11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121" ht="15" customHeight="1" thickBot="1" x14ac:dyDescent="0.3">
      <c r="B4" s="11"/>
      <c r="C4" s="11"/>
      <c r="D4" s="11"/>
      <c r="E4" s="52"/>
      <c r="F4" s="52"/>
      <c r="G4" s="52"/>
      <c r="H4" s="16"/>
      <c r="I4" s="16"/>
      <c r="J4" s="78">
        <v>0.3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121" ht="15.75" customHeight="1" thickBot="1" x14ac:dyDescent="0.3">
      <c r="B5" s="11"/>
      <c r="C5" s="11"/>
      <c r="D5" s="11"/>
      <c r="E5" s="52"/>
      <c r="F5" s="52"/>
      <c r="G5" s="52"/>
      <c r="H5" s="16"/>
      <c r="I5" s="16"/>
      <c r="J5" s="20"/>
      <c r="K5" s="10"/>
      <c r="L5" s="10"/>
      <c r="M5" s="10"/>
      <c r="N5" s="10"/>
      <c r="O5" s="21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/>
      <c r="AH5" s="18"/>
      <c r="AI5" s="18"/>
      <c r="AJ5" s="18"/>
      <c r="AK5" s="18"/>
      <c r="AL5" s="18"/>
      <c r="AM5" s="18"/>
      <c r="AN5" s="18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121" s="18" customFormat="1" ht="42" customHeight="1" thickBot="1" x14ac:dyDescent="0.4">
      <c r="B6" s="77" t="s">
        <v>155</v>
      </c>
      <c r="C6" s="77"/>
      <c r="D6" s="248" t="s">
        <v>155</v>
      </c>
      <c r="E6" s="248"/>
      <c r="F6" s="70"/>
      <c r="G6" s="261" t="s">
        <v>133</v>
      </c>
      <c r="H6" s="262"/>
      <c r="I6" s="263"/>
      <c r="J6" s="115" t="s">
        <v>1</v>
      </c>
      <c r="K6" s="25" t="s">
        <v>4</v>
      </c>
      <c r="L6" s="25" t="s">
        <v>162</v>
      </c>
      <c r="M6" s="25" t="s">
        <v>23</v>
      </c>
      <c r="N6" s="25" t="s">
        <v>5</v>
      </c>
      <c r="O6" s="25" t="s">
        <v>24</v>
      </c>
      <c r="P6" s="25" t="s">
        <v>25</v>
      </c>
      <c r="Q6" s="25" t="s">
        <v>26</v>
      </c>
      <c r="R6" s="25" t="s">
        <v>27</v>
      </c>
      <c r="S6" s="25" t="s">
        <v>156</v>
      </c>
      <c r="T6" s="25" t="s">
        <v>28</v>
      </c>
      <c r="U6" s="25" t="s">
        <v>157</v>
      </c>
      <c r="V6" s="25" t="s">
        <v>158</v>
      </c>
      <c r="W6" s="25" t="s">
        <v>159</v>
      </c>
      <c r="X6" s="25" t="s">
        <v>160</v>
      </c>
      <c r="Y6" s="25" t="s">
        <v>161</v>
      </c>
      <c r="Z6" s="25" t="s">
        <v>163</v>
      </c>
      <c r="AA6" s="25" t="s">
        <v>164</v>
      </c>
      <c r="AB6" s="26"/>
    </row>
    <row r="7" spans="1:121" s="18" customFormat="1" ht="15" hidden="1" customHeight="1" thickBot="1" x14ac:dyDescent="0.4">
      <c r="A7" s="16"/>
      <c r="B7" s="28"/>
      <c r="C7" s="28"/>
      <c r="D7" s="28"/>
      <c r="E7" s="53"/>
      <c r="F7" s="53"/>
      <c r="G7" s="269" t="s">
        <v>132</v>
      </c>
      <c r="H7" s="238"/>
      <c r="I7" s="267"/>
      <c r="J7" s="106" t="s">
        <v>0</v>
      </c>
      <c r="K7" s="156" t="s">
        <v>2</v>
      </c>
      <c r="L7" s="156" t="s">
        <v>2</v>
      </c>
      <c r="M7" s="157" t="s">
        <v>2</v>
      </c>
      <c r="N7" s="157" t="s">
        <v>3</v>
      </c>
      <c r="O7" s="157" t="s">
        <v>3</v>
      </c>
      <c r="P7" s="157" t="s">
        <v>3</v>
      </c>
      <c r="Q7" s="29" t="s">
        <v>3</v>
      </c>
      <c r="R7" s="156" t="s">
        <v>3</v>
      </c>
      <c r="S7" s="156" t="s">
        <v>3</v>
      </c>
      <c r="T7" s="156" t="s">
        <v>3</v>
      </c>
      <c r="U7" s="29" t="s">
        <v>2</v>
      </c>
      <c r="V7" s="29" t="s">
        <v>2</v>
      </c>
      <c r="W7" s="30" t="s">
        <v>2</v>
      </c>
      <c r="X7" s="29" t="s">
        <v>2</v>
      </c>
      <c r="Y7" s="29" t="s">
        <v>2</v>
      </c>
      <c r="Z7" s="156" t="s">
        <v>2</v>
      </c>
      <c r="AA7" s="156" t="s">
        <v>2</v>
      </c>
      <c r="AB7" s="26"/>
    </row>
    <row r="8" spans="1:121" s="18" customFormat="1" ht="15.75" customHeight="1" x14ac:dyDescent="0.35">
      <c r="B8" s="70"/>
      <c r="C8" s="70"/>
      <c r="D8" s="249" t="str">
        <f ca="1">MID(CELL("filename",A1),FIND("]",CELL("filename",A1))+1,255)&amp;" Level Scorecard"</f>
        <v>Campaign, Partner, Device Level Scorecard</v>
      </c>
      <c r="E8" s="249"/>
      <c r="F8" s="70"/>
      <c r="G8" s="241" t="s">
        <v>132</v>
      </c>
      <c r="H8" s="242"/>
      <c r="I8" s="268"/>
      <c r="J8" s="127" t="s">
        <v>16</v>
      </c>
      <c r="K8" s="128">
        <f>VLOOKUP(K6,Benchmark_Legend[],MATCH(ColumnCPD[[#This Row],[Metric]],Benchmark_Legend[#Headers],0),0)</f>
        <v>0.7</v>
      </c>
      <c r="L8" s="128">
        <f>VLOOKUP(L6,Benchmark_Legend[],MATCH(ColumnCPD[[#This Row],[Metric]],Benchmark_Legend[#Headers],0),0)</f>
        <v>0.98</v>
      </c>
      <c r="M8" s="128">
        <f>VLOOKUP(M6,Benchmark_Legend[],MATCH(ColumnCPD[[#This Row],[Metric]],Benchmark_Legend[#Headers],0),0)</f>
        <v>0.95</v>
      </c>
      <c r="N8" s="128">
        <f>VLOOKUP(N6,Benchmark_Legend[],MATCH(ColumnCPD[[#This Row],[Metric]],Benchmark_Legend[#Headers],0),0)</f>
        <v>0.05</v>
      </c>
      <c r="O8" s="128">
        <f>VLOOKUP(O6,Benchmark_Legend[],MATCH(ColumnCPD[[#This Row],[Metric]],Benchmark_Legend[#Headers],0),0)</f>
        <v>0.02</v>
      </c>
      <c r="P8" s="128">
        <f>VLOOKUP(P6,Benchmark_Legend[],MATCH(ColumnCPD[[#This Row],[Metric]],Benchmark_Legend[#Headers],0),0)</f>
        <v>0.02</v>
      </c>
      <c r="Q8" s="128">
        <f>VLOOKUP(Q6,Benchmark_Legend[],MATCH(ColumnCPD[[#This Row],[Metric]],Benchmark_Legend[#Headers],0),0)</f>
        <v>0.01</v>
      </c>
      <c r="R8" s="128">
        <f>VLOOKUP(R6,Benchmark_Legend[],MATCH(ColumnCPD[[#This Row],[Metric]],Benchmark_Legend[#Headers],0),0)</f>
        <v>0.01</v>
      </c>
      <c r="S8" s="128">
        <f>VLOOKUP(S6,Benchmark_Legend[],MATCH(ColumnCPD[[#This Row],[Metric]],Benchmark_Legend[#Headers],0),0)</f>
        <v>0.01</v>
      </c>
      <c r="T8" s="128">
        <f>VLOOKUP(T6,Benchmark_Legend[],MATCH(ColumnCPD[[#This Row],[Metric]],Benchmark_Legend[#Headers],0),0)</f>
        <v>0.03</v>
      </c>
      <c r="U8" s="128">
        <f>VLOOKUP(U6,Benchmark_Legend[],MATCH(ColumnCPD[[#This Row],[Metric]],Benchmark_Legend[#Headers],0),0)</f>
        <v>0.55000000000000004</v>
      </c>
      <c r="V8" s="128">
        <f>VLOOKUP(V6,Benchmark_Legend[],MATCH(ColumnCPD[[#This Row],[Metric]],Benchmark_Legend[#Headers],0),0)</f>
        <v>0.6</v>
      </c>
      <c r="W8" s="128">
        <f>VLOOKUP(W6,Benchmark_Legend[],MATCH(ColumnCPD[[#This Row],[Metric]],Benchmark_Legend[#Headers],0),0)</f>
        <v>0.5</v>
      </c>
      <c r="X8" s="128">
        <f>VLOOKUP(X6,Benchmark_Legend[],MATCH(ColumnCPD[[#This Row],[Metric]],Benchmark_Legend[#Headers],0),0)</f>
        <v>0.35</v>
      </c>
      <c r="Y8" s="128">
        <f>VLOOKUP(Y6,Benchmark_Legend[],MATCH(ColumnCPD[[#This Row],[Metric]],Benchmark_Legend[#Headers],0),0)</f>
        <v>0.25</v>
      </c>
      <c r="Z8" s="128">
        <f>VLOOKUP(Z6,Benchmark_Legend[],MATCH(ColumnCPD[[#This Row],[Metric]],Benchmark_Legend[#Headers],0),0)</f>
        <v>0.35</v>
      </c>
      <c r="AA8" s="128">
        <f>VLOOKUP(AA6,Benchmark_Legend[],MATCH(ColumnCPD[[#This Row],[Metric]],Benchmark_Legend[#Headers],0),0)</f>
        <v>0.25</v>
      </c>
      <c r="AB8" s="26"/>
    </row>
    <row r="9" spans="1:121" s="18" customFormat="1" ht="15.75" customHeight="1" thickBot="1" x14ac:dyDescent="0.4">
      <c r="B9" s="243" t="s">
        <v>154</v>
      </c>
      <c r="C9" s="243"/>
      <c r="D9" s="243"/>
      <c r="E9" s="243"/>
      <c r="F9" s="243"/>
      <c r="G9" s="118" t="s">
        <v>14</v>
      </c>
      <c r="H9" s="119"/>
      <c r="I9" s="120"/>
      <c r="J9" s="113" t="s">
        <v>130</v>
      </c>
      <c r="K9" s="100">
        <f t="array" aca="1" ref="K9" ca="1">SUM(
IF((DataCPD[Measured Rate 
'[% Measured']]&lt;&gt;"NULL"),
DataCPD[Measured Rate 
'[% Measured']]*
SUBTOTAL(9,OFFSET(DataCPD[Total Impressions],ROW(DataCPD[Total Impressions])-MIN(ROW(DataCPD[Total Impressions])),0,1))))
/
SUM(
IF((DataCPD[Measured Rate 
'[% Measured']]&lt;&gt;"NULL"),
SUBTOTAL(9,OFFSET(DataCPD[Total Impressions],ROW(DataCPD[Total Impressions])-MIN(ROW(DataCPD[Total Impressions])),0,1))))</f>
        <v>0.7</v>
      </c>
      <c r="L9" s="100">
        <f t="array" aca="1" ref="L9" ca="1">SUM(
IF((DataCPD[See-Through Rate 
'[% Visible']]&lt;&gt;"NULL"),
DataCPD[See-Through Rate 
'[% Visible']]*
SUBTOTAL(9,OFFSET(DataCPD[Total Impressions],ROW(DataCPD[Total Impressions])-MIN(ROW(DataCPD[Total Impressions])),0,1))))
/
SUM(
IF((DataCPD[See-Through Rate 
'[% Visible']]&lt;&gt;"NULL"),
SUBTOTAL(9,OFFSET(DataCPD[Total Impressions],ROW(DataCPD[Total Impressions])-MIN(ROW(DataCPD[Total Impressions])),0,1))))</f>
        <v>0.98</v>
      </c>
      <c r="M9" s="112">
        <f t="array" aca="1" ref="M9" ca="1">SUM(
IF((DataCPD[Brand Safety 
'[% Passed']]&lt;&gt;"NULL"),
DataCPD[Brand Safety 
'[% Passed']]*
SUBTOTAL(9,OFFSET(DataCPD[Total Impressions],ROW(DataCPD[Total Impressions])-MIN(ROW(DataCPD[Total Impressions])),0,1))))
/
SUM(
IF((DataCPD[Brand Safety 
'[% Passed']]&lt;&gt;"NULL"),
SUBTOTAL(9,OFFSET(DataCPD[Total Impressions],ROW(DataCPD[Total Impressions])-MIN(ROW(DataCPD[Total Impressions])),0,1))))</f>
        <v>0.95</v>
      </c>
      <c r="N9" s="112">
        <f t="array" aca="1" ref="N9" ca="1">SUM(
IF((DataCPD[Brand Safety 
'[% Failed']]&lt;&gt;"NULL"),
DataCPD[Brand Safety 
'[% Failed']]*
SUBTOTAL(9,OFFSET(DataCPD[Total Impressions],ROW(DataCPD[Total Impressions])-MIN(ROW(DataCPD[Total Impressions])),0,1))))
/
SUM(
IF((DataCPD[Brand Safety 
'[% Failed']]&lt;&gt;"NULL"),
SUBTOTAL(9,OFFSET(DataCPD[Total Impressions],ROW(DataCPD[Total Impressions])-MIN(ROW(DataCPD[Total Impressions])),0,1))))</f>
        <v>0.05</v>
      </c>
      <c r="O9" s="112">
        <f t="array" aca="1" ref="O9" ca="1">SUM(
IF((DataCPD[Brand Safety 
'[% Failed by Content']]&lt;&gt;"NULL"),
DataCPD[Brand Safety 
'[% Failed by Content']]*
SUBTOTAL(9,OFFSET(DataCPD[Total Impressions],ROW(DataCPD[Total Impressions])-MIN(ROW(DataCPD[Total Impressions])),0,1))))
/
SUM(
IF((DataCPD[Brand Safety 
'[% Failed by Content']]&lt;&gt;"NULL"),
SUBTOTAL(9,OFFSET(DataCPD[Total Impressions],ROW(DataCPD[Total Impressions])-MIN(ROW(DataCPD[Total Impressions])),0,1))))</f>
        <v>0.02</v>
      </c>
      <c r="P9" s="112">
        <f t="array" aca="1" ref="P9" ca="1">SUM(
IF((DataCPD[Brand Safety 
'[% Failed by Geo']]&lt;&gt;"NULL"),
DataCPD[Brand Safety 
'[% Failed by Geo']]*
SUBTOTAL(9,OFFSET(DataCPD[Total Impressions],ROW(DataCPD[Total Impressions])-MIN(ROW(DataCPD[Total Impressions])),0,1))))
/
SUM(
IF((DataCPD[Brand Safety 
'[% Failed by Geo']]&lt;&gt;"NULL"),
SUBTOTAL(9,OFFSET(DataCPD[Total Impressions],ROW(DataCPD[Total Impressions])-MIN(ROW(DataCPD[Total Impressions])),0,1))))</f>
        <v>0.02</v>
      </c>
      <c r="Q9" s="100">
        <f t="array" aca="1" ref="Q9" ca="1">SUM(
IF((DataCPD[Brand Safety 
'[% Failed by Keyword']]&lt;&gt;"NULL"),
DataCPD[Brand Safety 
'[% Failed by Keyword']]*
SUBTOTAL(9,OFFSET(DataCPD[Total Impressions],ROW(DataCPD[Total Impressions])-MIN(ROW(DataCPD[Total Impressions])),0,1))))
/
SUM(
IF((DataCPD[Brand Safety 
'[% Failed by Keyword']]&lt;&gt;"NULL"),
SUBTOTAL(9,OFFSET(DataCPD[Total Impressions],ROW(DataCPD[Total Impressions])-MIN(ROW(DataCPD[Total Impressions])),0,1))))</f>
        <v>0.01</v>
      </c>
      <c r="R9" s="100">
        <f t="array" aca="1" ref="R9" ca="1">SUM(
IF((DataCPD[Brand Safety 
'[% Failed by Blacklist']]&lt;&gt;"NULL"),
DataCPD[Brand Safety 
'[% Failed by Blacklist']]*
SUBTOTAL(9,OFFSET(DataCPD[Total Impressions],ROW(DataCPD[Total Impressions])-MIN(ROW(DataCPD[Total Impressions])),0,1))))
/
SUM(
IF((DataCPD[Brand Safety 
'[% Failed by Blacklist']]&lt;&gt;"NULL"),
SUBTOTAL(9,OFFSET(DataCPD[Total Impressions],ROW(DataCPD[Total Impressions])-MIN(ROW(DataCPD[Total Impressions])),0,1))))</f>
        <v>0.01</v>
      </c>
      <c r="S9" s="100">
        <f t="array" aca="1" ref="S9" ca="1">SUM(
IF((DataCPD[Brand Safety 
'[% Failed by Language']]&lt;&gt;"NULL"),
DataCPD[Brand Safety 
'[% Failed by Language']]*
SUBTOTAL(9,OFFSET(DataCPD[Total Impressions],ROW(DataCPD[Total Impressions])-MIN(ROW(DataCPD[Total Impressions])),0,1))))
/
SUM(
IF((DataCPD[Brand Safety 
'[% Failed by Language']]&lt;&gt;"NULL"),
SUBTOTAL(9,OFFSET(DataCPD[Total Impressions],ROW(DataCPD[Total Impressions])-MIN(ROW(DataCPD[Total Impressions])),0,1))))</f>
        <v>0.01</v>
      </c>
      <c r="T9" s="100">
        <f t="array" aca="1" ref="T9" ca="1">SUM(
IF((DataCPD[Fraud 
'[% Fraud']]&lt;&gt;"NULL"),
DataCPD[Fraud 
'[% Fraud']]*
SUBTOTAL(9,OFFSET(DataCPD[Total Impressions],ROW(DataCPD[Total Impressions])-MIN(ROW(DataCPD[Total Impressions])),0,1))))
/
SUM(
IF((DataCPD[Fraud 
'[% Fraud']]&lt;&gt;"NULL"),
SUBTOTAL(9,OFFSET(DataCPD[Total Impressions],ROW(DataCPD[Total Impressions])-MIN(ROW(DataCPD[Total Impressions])),0,1))))</f>
        <v>0.03</v>
      </c>
      <c r="U9" s="100">
        <f t="array" aca="1" ref="U9" ca="1">SUM(
IF((DataCPD[Viewability 
'[Total Viewable Rate (Total Net Metrics)']]&lt;&gt;"NULL"),
DataCPD[Viewability 
'[Total Viewable Rate (Total Net Metrics)']]*SUBTOTAL(9,OFFSET(DataCPD[Measured Impressions],ROW(DataCPD[Measured Impressions])-MIN(ROW(DataCPD[Measured Impressions])),0,1))))
/
SUM(
IF((DataCPD[Viewability 
'[Total Viewable Rate (Total Net Metrics)']]&lt;&gt;"NULL"),
SUBTOTAL(9,OFFSET(DataCPD[Measured Impressions],ROW(DataCPD[Measured Impressions])-MIN(ROW(DataCPD[Measured Impressions])),0,1))))</f>
        <v>0.55000000000000004</v>
      </c>
      <c r="V9" s="100">
        <f t="array" aca="1" ref="V9" ca="1">SUM(
IF((DataCPD[Display Viewability 
'[Total Viewable Rate (Total Net Metrics)']]&lt;&gt;"NULL"),
DataCPD[Display Viewability 
'[Total Viewable Rate (Total Net Metrics)']]*SUBTOTAL(9,OFFSET(DataCPD[Measured Impressions],ROW(DataCPD[Measured Impressions])-MIN(ROW(DataCPD[Measured Impressions])),0,1))))
/
SUM(
IF((DataCPD[Display Viewability 
'[Total Viewable Rate (Total Net Metrics)']]&lt;&gt;"NULL"),
SUBTOTAL(9,OFFSET(DataCPD[Measured Impressions],ROW(DataCPD[Measured Impressions])-MIN(ROW(DataCPD[Measured Impressions])),0,1))))</f>
        <v>0.6</v>
      </c>
      <c r="W9" s="112">
        <f t="array" aca="1" ref="W9" ca="1">SUM(
IF((DataCPD[Video Viewability 
'[Total Viewable Rate (Total Net Metrics)']]&lt;&gt;"NULL"),
DataCPD[Video Viewability 
'[Total Viewable Rate (Total Net Metrics)']]*SUBTOTAL(9,OFFSET(DataCPD[Measured Impressions],ROW(DataCPD[Measured Impressions])-MIN(ROW(DataCPD[Measured Impressions])),0,1))))
/
SUM(
IF((DataCPD[Video Viewability 
'[Total Viewable Rate (Total Net Metrics)']]&lt;&gt;"NULL"),
SUBTOTAL(9,OFFSET(DataCPD[Measured Impressions],ROW(DataCPD[Measured Impressions])-MIN(ROW(DataCPD[Measured Impressions])),0,1))))</f>
        <v>0.5</v>
      </c>
      <c r="X9" s="100">
        <f t="array" aca="1" ref="X9" ca="1">SUM(
IF((DataCPD[GroupM Viewability 
'[% Display Ads Fully in View']]&lt;&gt;"NULL"),
DataCPD[GroupM Viewability 
'[% Display Ads Fully in View']]*SUBTOTAL(9,OFFSET(DataCPD[Measured Impressions],ROW(DataCPD[Measured Impressions])-MIN(ROW(DataCPD[Measured Impressions])),0,1))))
/
SUM(
IF((DataCPD[GroupM Viewability 
'[% Display Ads Fully in View']]&lt;&gt;"NULL"),
SUBTOTAL(9,OFFSET(DataCPD[Measured Impressions],ROW(DataCPD[Measured Impressions])-MIN(ROW(DataCPD[Measured Impressions])),0,1))))</f>
        <v>0.35</v>
      </c>
      <c r="Y9" s="112">
        <f t="array" aca="1" ref="Y9" ca="1">SUM(
IF((DataCPD[GroupM Viewability 
'[% Videos Fully in View']]&lt;&gt;"NULL"),
DataCPD[GroupM Viewability 
'[% Videos Fully in View']]*SUBTOTAL(9,OFFSET(DataCPD[Measured Impressions],ROW(DataCPD[Measured Impressions])-MIN(ROW(DataCPD[Measured Impressions])),0,1))))
/
SUM(
IF((DataCPD[GroupM Viewability 
'[% Videos Fully in View']]&lt;&gt;"NULL"),
SUBTOTAL(9,OFFSET(DataCPD[Measured Impressions],ROW(DataCPD[Measured Impressions])-MIN(ROW(DataCPD[Measured Impressions])),0,1))))</f>
        <v>0.25</v>
      </c>
      <c r="Z9" s="100">
        <f t="array" aca="1" ref="Z9" ca="1">SUM(
IF((DataCPD[Publicis Viewability 
'[% Display Ads Fully in View']]&lt;&gt;"NULL"),
DataCPD[Publicis Viewability 
'[% Display Ads Fully in View']]*SUBTOTAL(9,OFFSET(DataCPD[Measured Impressions],ROW(DataCPD[Measured Impressions])-MIN(ROW(DataCPD[Measured Impressions])),0,1))))
/
SUM(
IF((DataCPD[Publicis Viewability 
'[% Display Ads Fully in View']]&lt;&gt;"NULL"),
SUBTOTAL(9,OFFSET(DataCPD[Measured Impressions],ROW(DataCPD[Measured Impressions])-MIN(ROW(DataCPD[Measured Impressions])),0,1))))</f>
        <v>0.35</v>
      </c>
      <c r="AA9" s="100">
        <f t="array" aca="1" ref="AA9" ca="1">SUM(
IF((DataCPD[Publicis Viewability 
'[% Videos Fully in View']]&lt;&gt;"NULL"),
DataCPD[Publicis Viewability 
'[% Videos Fully in View']]*SUBTOTAL(9,OFFSET(DataCPD[Measured Impressions],ROW(DataCPD[Measured Impressions])-MIN(ROW(DataCPD[Measured Impressions])),0,1))))
/
SUM(
IF((DataCPD[Publicis Viewability 
'[% Videos Fully in View']]&lt;&gt;"NULL"),
SUBTOTAL(9,OFFSET(DataCPD[Measured Impressions],ROW(DataCPD[Measured Impressions])-MIN(ROW(DataCPD[Measured Impressions])),0,1))))</f>
        <v>0.25</v>
      </c>
      <c r="AB9" s="26"/>
    </row>
    <row r="10" spans="1:121" s="18" customFormat="1" ht="15.75" hidden="1" customHeight="1" x14ac:dyDescent="0.35">
      <c r="A10" s="55"/>
      <c r="B10" s="56"/>
      <c r="C10" s="56"/>
      <c r="D10" s="56"/>
      <c r="E10" s="57"/>
      <c r="F10" s="63"/>
      <c r="G10" s="116"/>
      <c r="H10" s="116"/>
      <c r="I10" s="117"/>
      <c r="J10" s="102" t="s">
        <v>126</v>
      </c>
      <c r="K10" s="31">
        <f t="array" aca="1" ref="K10" ca="1">SUM(
IF(DataCPD[Measured Rate 
'[% Measured']]&lt;&gt;"NULL",
IF(DataCPD[Device Type]=ColumnCPD[[#This Row],[Metric]],
DataCPD[Measured Rate 
'[% Measured']]*
SUBTOTAL(9,OFFSET(DataCPD[Total Impressions],ROW(DataCPD[Total Impressions])-MIN(ROW(DataCPD[Total Impressions])),0,1)))))
/
SUM(
IF(DataCPD[Measured Rate 
'[% Measured']]&lt;&gt;"NULL",
IF(DataCPD[Device Type]=ColumnCPD[[#This Row],[Metric]],
SUBTOTAL(9,OFFSET(DataCPD[Total Impressions],ROW(DataCPD[Total Impressions])-MIN(ROW(DataCPD[Total Impressions])),0,1)))))</f>
        <v>0.7</v>
      </c>
      <c r="L10" s="32">
        <f t="array" aca="1" ref="L10" ca="1">SUM(
IF(DataCPD[See-Through Rate 
'[% Visible']]&lt;&gt;"NULL",
IF(DataCPD[Device Type]=ColumnCPD[[#This Row],[Metric]],
DataCPD[See-Through Rate 
'[% Visible']]*
SUBTOTAL(9,OFFSET(DataCPD[Total Impressions],ROW(DataCPD[Total Impressions])-MIN(ROW(DataCPD[Total Impressions])),0,1)))))
/
SUM(
IF(DataCPD[See-Through Rate 
'[% Visible']]&lt;&gt;"NULL",
IF(DataCPD[Device Type]=ColumnCPD[[#This Row],[Metric]],
SUBTOTAL(9,OFFSET(DataCPD[Total Impressions],ROW(DataCPD[Total Impressions])-MIN(ROW(DataCPD[Total Impressions])),0,1)))))</f>
        <v>0.98</v>
      </c>
      <c r="M10" s="32">
        <f t="array" aca="1" ref="M10" ca="1">SUM(
IF(DataCPD[Brand Safety 
'[% Passed']]&lt;&gt;"NULL",
IF(DataCPD[Device Type]=ColumnCPD[[#This Row],[Metric]],
DataCPD[Brand Safety 
'[% Passed']]*
SUBTOTAL(9,OFFSET(DataCPD[Total Impressions],ROW(DataCPD[Total Impressions])-MIN(ROW(DataCPD[Total Impressions])),0,1)))))
/
SUM(
IF(DataCPD[Brand Safety 
'[% Passed']]&lt;&gt;"NULL",
IF(DataCPD[Device Type]=ColumnCPD[[#This Row],[Metric]],
SUBTOTAL(9,OFFSET(DataCPD[Total Impressions],ROW(DataCPD[Total Impressions])-MIN(ROW(DataCPD[Total Impressions])),0,1)))))</f>
        <v>0.95</v>
      </c>
      <c r="N10" s="32">
        <f t="array" aca="1" ref="N10" ca="1">SUM(
IF(DataCPD[Brand Safety 
'[% Failed']]&lt;&gt;"NULL",
IF(DataCPD[Device Type]=ColumnCPD[[#This Row],[Metric]],
DataCPD[Brand Safety 
'[% Failed']]*
SUBTOTAL(9,OFFSET(DataCPD[Total Impressions],ROW(DataCPD[Total Impressions])-MIN(ROW(DataCPD[Total Impressions])),0,1)))))
/
SUM(
IF(DataCPD[Brand Safety 
'[% Failed']]&lt;&gt;"NULL",
IF(DataCPD[Device Type]=ColumnCPD[[#This Row],[Metric]],
SUBTOTAL(9,OFFSET(DataCPD[Total Impressions],ROW(DataCPD[Total Impressions])-MIN(ROW(DataCPD[Total Impressions])),0,1)))))</f>
        <v>0.05</v>
      </c>
      <c r="O10" s="32">
        <f t="array" aca="1" ref="O10" ca="1">SUM(
IF(DataCPD[Brand Safety 
'[% Failed by Content']]&lt;&gt;"NULL",
IF(DataCPD[Device Type]=ColumnCPD[[#This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IF(DataCPD[Device Type]=ColumnCPD[[#This Row],[Metric]],
SUBTOTAL(9,OFFSET(DataCPD[Total Impressions],ROW(DataCPD[Total Impressions])-MIN(ROW(DataCPD[Total Impressions])),0,1)))))</f>
        <v>0.02</v>
      </c>
      <c r="P10" s="32">
        <f t="array" aca="1" ref="P10" ca="1">SUM(
IF(DataCPD[Brand Safety 
'[% Failed by Geo']]&lt;&gt;"NULL",
IF(DataCPD[Device Type]=ColumnCPD[[#This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IF(DataCPD[Device Type]=ColumnCPD[[#This Row],[Metric]],
SUBTOTAL(9,OFFSET(DataCPD[Total Impressions],ROW(DataCPD[Total Impressions])-MIN(ROW(DataCPD[Total Impressions])),0,1)))))</f>
        <v>0.02</v>
      </c>
      <c r="Q10" s="32">
        <f t="array" aca="1" ref="Q10" ca="1">SUM(
IF(DataCPD[Brand Safety 
'[% Failed by Keyword']]&lt;&gt;"NULL",
IF(DataCPD[Device Type]=ColumnCPD[[#This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IF(DataCPD[Device Type]=ColumnCPD[[#This Row],[Metric]],
SUBTOTAL(9,OFFSET(DataCPD[Total Impressions],ROW(DataCPD[Total Impressions])-MIN(ROW(DataCPD[Total Impressions])),0,1)))))</f>
        <v>0.01</v>
      </c>
      <c r="R10" s="32">
        <f t="array" aca="1" ref="R10" ca="1">SUM(
IF(DataCPD[Brand Safety 
'[% Failed by Blacklist']]&lt;&gt;"NULL",
IF(DataCPD[Device Type]=ColumnCPD[[#This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IF(DataCPD[Device Type]=ColumnCPD[[#This Row],[Metric]],
SUBTOTAL(9,OFFSET(DataCPD[Total Impressions],ROW(DataCPD[Total Impressions])-MIN(ROW(DataCPD[Total Impressions])),0,1)))))</f>
        <v>0.01</v>
      </c>
      <c r="S10" s="32">
        <f t="array" aca="1" ref="S10" ca="1">SUM(
IF(DataCPD[Brand Safety 
'[% Failed by Language']]&lt;&gt;"NULL",
IF(DataCPD[Device Type]=ColumnCPD[[#This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IF(DataCPD[Device Type]=ColumnCPD[[#This Row],[Metric]],
SUBTOTAL(9,OFFSET(DataCPD[Total Impressions],ROW(DataCPD[Total Impressions])-MIN(ROW(DataCPD[Total Impressions])),0,1)))))</f>
        <v>0.01</v>
      </c>
      <c r="T10" s="32">
        <f t="array" aca="1" ref="T10" ca="1">SUM(
IF(DataCPD[Fraud 
'[% Fraud']]&lt;&gt;"NULL",
IF(DataCPD[Device Type]=ColumnCPD[[#This Row],[Metric]],
DataCPD[Fraud 
'[% Fraud']]*
SUBTOTAL(9,OFFSET(DataCPD[Total Impressions],ROW(DataCPD[Total Impressions])-MIN(ROW(DataCPD[Total Impressions])),0,1)))))
/
SUM(
IF(DataCPD[Fraud 
'[% Fraud']]&lt;&gt;"NULL",
IF(DataCPD[Device Type]=ColumnCPD[[#This Row],[Metric]],
SUBTOTAL(9,OFFSET(DataCPD[Total Impressions],ROW(DataCPD[Total Impressions])-MIN(ROW(DataCPD[Total Impressions])),0,1)))))</f>
        <v>0.03</v>
      </c>
      <c r="U10" s="32">
        <f t="array" aca="1" ref="U10" ca="1">SUM(
IF(DataCPD[Viewability 
'[Total Viewable Rate (Total Net Metrics)']]&lt;&gt;"NULL",
IF(DataCPD[Device Type]=ColumnCPD[[#This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IF(DataCPD[Device Type]=ColumnCPD[[#This Row],[Metric]],
SUBTOTAL(9,OFFSET(DataCPD[Total Impressions],ROW(DataCPD[Total Impressions])-MIN(ROW(DataCPD[Total Impressions])),0,1)))))</f>
        <v>0.55000000000000004</v>
      </c>
      <c r="V10" s="32">
        <f t="array" aca="1" ref="V10" ca="1">SUM(
IF(DataCPD[Display Viewability 
'[Total Viewable Rate (Total Net Metrics)']]&lt;&gt;"NULL",
IF(DataCPD[Device Type]=ColumnCPD[[#This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IF(DataCPD[Device Type]=ColumnCPD[[#This Row],[Metric]],
SUBTOTAL(9,OFFSET(DataCPD[Total Impressions],ROW(DataCPD[Total Impressions])-MIN(ROW(DataCPD[Total Impressions])),0,1)))))</f>
        <v>0.59999999999999987</v>
      </c>
      <c r="W10" s="32">
        <f t="array" aca="1" ref="W10" ca="1">SUM(
IF(DataCPD[Video Viewability 
'[Total Viewable Rate (Total Net Metrics)']]&lt;&gt;"NULL",
IF(DataCPD[Device Type]=ColumnCPD[[#This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IF(DataCPD[Device Type]=ColumnCPD[[#This Row],[Metric]],
SUBTOTAL(9,OFFSET(DataCPD[Total Impressions],ROW(DataCPD[Total Impressions])-MIN(ROW(DataCPD[Total Impressions])),0,1)))))</f>
        <v>0.5</v>
      </c>
      <c r="X10" s="32">
        <f t="array" aca="1" ref="X10" ca="1">SUM(
IF(DataCPD[GroupM Viewability 
'[% Display Ads Fully in View']]&lt;&gt;"NULL",
IF(DataCPD[Device Type]=ColumnCPD[[#This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Y10" s="32">
        <f t="array" aca="1" ref="Y10" ca="1">SUM(
IF(DataCPD[GroupM Viewability 
'[% Videos Fully in View']]&lt;&gt;"NULL",
IF(DataCPD[Device Type]=ColumnCPD[[#This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Z10" s="32">
        <f t="array" aca="1" ref="Z10" ca="1">SUM(
IF(DataCPD[Publicis Viewability 
'[% Display Ads Fully in View']]&lt;&gt;"NULL",
IF(DataCPD[Device Type]=ColumnCPD[[#This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IF(DataCPD[Device Type]=ColumnCPD[[#This Row],[Metric]],
SUBTOTAL(9,OFFSET(DataCPD[Total Impressions],ROW(DataCPD[Total Impressions])-MIN(ROW(DataCPD[Total Impressions])),0,1)))))</f>
        <v>0.35</v>
      </c>
      <c r="AA10" s="32">
        <f t="array" aca="1" ref="AA10" ca="1">SUM(
IF(DataCPD[Publicis Viewability 
'[% Videos Fully in View']]&lt;&gt;"NULL",
IF(DataCPD[Device Type]=ColumnCPD[[#This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IF(DataCPD[Device Type]=ColumnCPD[[#This Row],[Metric]],
SUBTOTAL(9,OFFSET(DataCPD[Total Impressions],ROW(DataCPD[Total Impressions])-MIN(ROW(DataCPD[Total Impressions])),0,1)))))</f>
        <v>0.25</v>
      </c>
      <c r="AB10" s="26"/>
    </row>
    <row r="11" spans="1:121" s="18" customFormat="1" ht="16.5" hidden="1" customHeight="1" x14ac:dyDescent="0.35">
      <c r="A11" s="232"/>
      <c r="B11" s="233"/>
      <c r="C11" s="233"/>
      <c r="D11" s="247"/>
      <c r="E11" s="59"/>
      <c r="F11" s="59"/>
      <c r="G11" s="116"/>
      <c r="H11" s="116"/>
      <c r="I11" s="117"/>
      <c r="J11" s="102" t="s">
        <v>140</v>
      </c>
      <c r="K11" s="31" t="e">
        <f t="array" aca="1" ref="K11" ca="1">SUM(
IF(DataCPD[Measured Rate 
'[% Measured']]&lt;&gt;"NULL",
IF(DataCPD[Brand]=ColumnCPD[[#This Row],[Metric]],
DataCPD[Measured Rate 
'[% Measured']]*
SUBTOTAL(9,OFFSET(DataCPD[Total Impressions],ROW(DataCPD[Total Impressions])-MIN(ROW(DataCPD[Total Impressions])),0,1)))))
/
SUM(
IF(DataCPD[Measured Rate 
'[% Measured']]&lt;&gt;"NULL",
IF(DataCPD[Brand]=ColumnCPD[[#This Row],[Metric]],
SUBTOTAL(9,OFFSET(DataCPD[Total Impressions],ROW(DataCPD[Total Impressions])-MIN(ROW(DataCPD[Total Impressions])),0,1)))))</f>
        <v>#DIV/0!</v>
      </c>
      <c r="L11" s="32" t="e">
        <f t="array" aca="1" ref="L11" ca="1">SUM(
IF(DataCPD[See-Through Rate 
'[% Visible']]&lt;&gt;"NULL",
IF(DataCPD[Brand]=ColumnCPD[[#This Row],[Metric]],
DataCPD[See-Through Rate 
'[% Visible']]*
SUBTOTAL(9,OFFSET(DataCPD[Total Impressions],ROW(DataCPD[Total Impressions])-MIN(ROW(DataCPD[Total Impressions])),0,1)))))
/
SUM(
IF(DataCPD[See-Through Rate 
'[% Visible']]&lt;&gt;"NULL",
IF(DataCPD[Brand]=ColumnCPD[[#This Row],[Metric]],
SUBTOTAL(9,OFFSET(DataCPD[Total Impressions],ROW(DataCPD[Total Impressions])-MIN(ROW(DataCPD[Total Impressions])),0,1)))))</f>
        <v>#DIV/0!</v>
      </c>
      <c r="M11" s="32" t="e">
        <f t="array" aca="1" ref="M11" ca="1">SUM(
IF(DataCPD[Brand Safety 
'[% Passed']]&lt;&gt;"NULL",
IF(DataCPD[Brand]=ColumnCPD[[#This Row],[Metric]],
DataCPD[Brand Safety 
'[% Passed']]*
SUBTOTAL(9,OFFSET(DataCPD[Total Impressions],ROW(DataCPD[Total Impressions])-MIN(ROW(DataCPD[Total Impressions])),0,1)))))
/
SUM(
IF(DataCPD[Brand Safety 
'[% Passed']]&lt;&gt;"NULL",
IF(DataCPD[Brand]=ColumnCPD[[#This Row],[Metric]],
SUBTOTAL(9,OFFSET(DataCPD[Total Impressions],ROW(DataCPD[Total Impressions])-MIN(ROW(DataCPD[Total Impressions])),0,1)))))</f>
        <v>#DIV/0!</v>
      </c>
      <c r="N11" s="32" t="e">
        <f t="array" aca="1" ref="N11" ca="1">SUM(
IF(DataCPD[Brand Safety 
'[% Failed']]&lt;&gt;"NULL",
IF(DataCPD[Brand]=ColumnCPD[[#This Row],[Metric]],
DataCPD[Brand Safety 
'[% Failed']]*
SUBTOTAL(9,OFFSET(DataCPD[Total Impressions],ROW(DataCPD[Total Impressions])-MIN(ROW(DataCPD[Total Impressions])),0,1)))))
/
SUM(
IF(DataCPD[Brand Safety 
'[% Failed']]&lt;&gt;"NULL",
IF(DataCPD[Brand]=ColumnCPD[[#This Row],[Metric]],
SUBTOTAL(9,OFFSET(DataCPD[Total Impressions],ROW(DataCPD[Total Impressions])-MIN(ROW(DataCPD[Total Impressions])),0,1)))))</f>
        <v>#DIV/0!</v>
      </c>
      <c r="O11" s="32" t="e">
        <f t="array" aca="1" ref="O11" ca="1">SUM(
IF(DataCPD[Brand Safety 
'[% Failed by Content']]&lt;&gt;"NULL",
IF(DataCPD[Brand]=ColumnCPD[[#This Row],[Metric]],
DataCPD[Brand Safety 
'[% Failed by Content']]*
SUBTOTAL(9,OFFSET(DataCPD[Total Impressions],ROW(DataCPD[Total Impressions])-MIN(ROW(DataCPD[Total Impressions])),0,1)))))
/
SUM(
IF(DataCPD[Brand Safety 
'[% Failed by Content']]&lt;&gt;"NULL",
IF(DataCPD[Brand]=ColumnCPD[[#This Row],[Metric]],
SUBTOTAL(9,OFFSET(DataCPD[Total Impressions],ROW(DataCPD[Total Impressions])-MIN(ROW(DataCPD[Total Impressions])),0,1)))))</f>
        <v>#DIV/0!</v>
      </c>
      <c r="P11" s="32" t="e">
        <f t="array" aca="1" ref="P11" ca="1">SUM(
IF(DataCPD[Brand Safety 
'[% Failed by Geo']]&lt;&gt;"NULL",
IF(DataCPD[Brand]=ColumnCPD[[#This Row],[Metric]],
DataCPD[Brand Safety 
'[% Failed by Geo']]*
SUBTOTAL(9,OFFSET(DataCPD[Total Impressions],ROW(DataCPD[Total Impressions])-MIN(ROW(DataCPD[Total Impressions])),0,1)))))
/
SUM(
IF(DataCPD[Brand Safety 
'[% Failed by Geo']]&lt;&gt;"NULL",
IF(DataCPD[Brand]=ColumnCPD[[#This Row],[Metric]],
SUBTOTAL(9,OFFSET(DataCPD[Total Impressions],ROW(DataCPD[Total Impressions])-MIN(ROW(DataCPD[Total Impressions])),0,1)))))</f>
        <v>#DIV/0!</v>
      </c>
      <c r="Q11" s="32" t="e">
        <f t="array" aca="1" ref="Q11" ca="1">SUM(
IF(DataCPD[Brand Safety 
'[% Failed by Keyword']]&lt;&gt;"NULL",
IF(DataCPD[Brand]=ColumnCPD[[#This Row],[Metric]],
DataCPD[Brand Safety 
'[% Failed by Keyword']]*
SUBTOTAL(9,OFFSET(DataCPD[Total Impressions],ROW(DataCPD[Total Impressions])-MIN(ROW(DataCPD[Total Impressions])),0,1)))))
/
SUM(
IF(DataCPD[Brand Safety 
'[% Failed by Keyword']]&lt;&gt;"NULL",
IF(DataCPD[Brand]=ColumnCPD[[#This Row],[Metric]],
SUBTOTAL(9,OFFSET(DataCPD[Total Impressions],ROW(DataCPD[Total Impressions])-MIN(ROW(DataCPD[Total Impressions])),0,1)))))</f>
        <v>#DIV/0!</v>
      </c>
      <c r="R11" s="32" t="e">
        <f t="array" aca="1" ref="R11" ca="1">SUM(
IF(DataCPD[Brand Safety 
'[% Failed by Blacklist']]&lt;&gt;"NULL",
IF(DataCPD[Brand]=ColumnCPD[[#This Row],[Metric]],
DataCPD[Brand Safety 
'[% Failed by Blacklist']]*
SUBTOTAL(9,OFFSET(DataCPD[Total Impressions],ROW(DataCPD[Total Impressions])-MIN(ROW(DataCPD[Total Impressions])),0,1)))))
/
SUM(
IF(DataCPD[Brand Safety 
'[% Failed by Blacklist']]&lt;&gt;"NULL",
IF(DataCPD[Brand]=ColumnCPD[[#This Row],[Metric]],
SUBTOTAL(9,OFFSET(DataCPD[Total Impressions],ROW(DataCPD[Total Impressions])-MIN(ROW(DataCPD[Total Impressions])),0,1)))))</f>
        <v>#DIV/0!</v>
      </c>
      <c r="S11" s="32" t="e">
        <f t="array" aca="1" ref="S11" ca="1">SUM(
IF(DataCPD[Brand Safety 
'[% Failed by Language']]&lt;&gt;"NULL",
IF(DataCPD[Brand]=ColumnCPD[[#This Row],[Metric]],
DataCPD[Brand Safety 
'[% Failed by Language']]*
SUBTOTAL(9,OFFSET(DataCPD[Total Impressions],ROW(DataCPD[Total Impressions])-MIN(ROW(DataCPD[Total Impressions])),0,1)))))
/
SUM(
IF(DataCPD[Brand Safety 
'[% Failed by Language']]&lt;&gt;"NULL",
IF(DataCPD[Brand]=ColumnCPD[[#This Row],[Metric]],
SUBTOTAL(9,OFFSET(DataCPD[Total Impressions],ROW(DataCPD[Total Impressions])-MIN(ROW(DataCPD[Total Impressions])),0,1)))))</f>
        <v>#DIV/0!</v>
      </c>
      <c r="T11" s="32" t="e">
        <f t="array" aca="1" ref="T11" ca="1">SUM(
IF(DataCPD[Fraud 
'[% Fraud']]&lt;&gt;"NULL",
IF(DataCPD[Brand]=ColumnCPD[[#This Row],[Metric]],
DataCPD[Fraud 
'[% Fraud']]*
SUBTOTAL(9,OFFSET(DataCPD[Total Impressions],ROW(DataCPD[Total Impressions])-MIN(ROW(DataCPD[Total Impressions])),0,1)))))
/
SUM(
IF(DataCPD[Fraud 
'[% Fraud']]&lt;&gt;"NULL",
IF(DataCPD[Brand]=ColumnCPD[[#This Row],[Metric]],
SUBTOTAL(9,OFFSET(DataCPD[Total Impressions],ROW(DataCPD[Total Impressions])-MIN(ROW(DataCPD[Total Impressions])),0,1)))))</f>
        <v>#DIV/0!</v>
      </c>
      <c r="U11" s="32" t="e">
        <f t="array" aca="1" ref="U11" ca="1">SUM(
IF(DataCPD[Viewability 
'[Total Viewable Rate (Total Net Metrics)']]&lt;&gt;"NULL",
IF(DataCPD[Brand]=ColumnCPD[[#This Row],[Metric]],
DataCPD[Viewability 
'[Total Viewable Rate (Total Net Metrics)']]*
SUBTOTAL(9,OFFSET(DataCPD[Total Impressions],ROW(DataCPD[Total Impressions])-MIN(ROW(DataCPD[Total Impressions])),0,1)))))
/
SUM(
IF(DataCPD[Viewability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V11" s="32" t="e">
        <f t="array" aca="1" ref="V11" ca="1">SUM(
IF(DataCPD[Display Viewability 
'[Total Viewable Rate (Total Net Metrics)']]&lt;&gt;"NULL",
IF(DataCPD[Brand]=ColumnCPD[[#This Row],[Metric]],
DataCPD[Display Viewability 
'[Total Viewable Rate (Total Net Metrics)']]*
SUBTOTAL(9,OFFSET(DataCPD[Total Impressions],ROW(DataCPD[Total Impressions])-MIN(ROW(DataCPD[Total Impressions])),0,1)))))
/
SUM(
IF(DataCPD[Display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W11" s="32" t="e">
        <f t="array" aca="1" ref="W11" ca="1">SUM(
IF(DataCPD[Video Viewability 
'[Total Viewable Rate (Total Net Metrics)']]&lt;&gt;"NULL",
IF(DataCPD[Brand]=ColumnCPD[[#This Row],[Metric]],
DataCPD[Video Viewability 
'[Total Viewable Rate (Total Net Metrics)']]*
SUBTOTAL(9,OFFSET(DataCPD[Total Impressions],ROW(DataCPD[Total Impressions])-MIN(ROW(DataCPD[Total Impressions])),0,1)))))
/
SUM(
IF(DataCPD[Video Viewability 
'[Total Viewable Rate (Total Net Metrics)']]&lt;&gt;"NULL",
IF(DataCPD[Brand]=ColumnCPD[[#This Row],[Metric]],
SUBTOTAL(9,OFFSET(DataCPD[Total Impressions],ROW(DataCPD[Total Impressions])-MIN(ROW(DataCPD[Total Impressions])),0,1)))))</f>
        <v>#DIV/0!</v>
      </c>
      <c r="X11" s="32" t="e">
        <f t="array" aca="1" ref="X11" ca="1">SUM(
IF(DataCPD[GroupM Viewability 
'[% Display Ads Fully in View']]&lt;&gt;"NULL",
IF(DataCPD[Brand]=ColumnCPD[[#This Row],[Metric]],
DataCPD[GroupM Viewability 
'[% Display Ads Fully in View']]*
SUBTOTAL(9,OFFSET(DataCPD[Total Impressions],ROW(DataCPD[Total Impressions])-MIN(ROW(DataCPD[Total Impressions])),0,1)))))
/
SUM(
IF(DataCPD[GroupM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Y11" s="32" t="e">
        <f t="array" aca="1" ref="Y11" ca="1">SUM(
IF(DataCPD[GroupM Viewability 
'[% Videos Fully in View']]&lt;&gt;"NULL",
IF(DataCPD[Brand]=ColumnCPD[[#This Row],[Metric]],
DataCPD[GroupM Viewability 
'[% Videos Fully in View']]*
SUBTOTAL(9,OFFSET(DataCPD[Total Impressions],ROW(DataCPD[Total Impressions])-MIN(ROW(DataCPD[Total Impressions])),0,1)))))
/
SUM(
IF(DataCPD[GroupM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Z11" s="32" t="e">
        <f t="array" aca="1" ref="Z11" ca="1">SUM(
IF(DataCPD[Publicis Viewability 
'[% Display Ads Fully in View']]&lt;&gt;"NULL",
IF(DataCPD[Brand]=ColumnCPD[[#This Row],[Metric]],
DataCPD[Publicis Viewability 
'[% Display Ads Fully in View']]*
SUBTOTAL(9,OFFSET(DataCPD[Total Impressions],ROW(DataCPD[Total Impressions])-MIN(ROW(DataCPD[Total Impressions])),0,1)))))
/
SUM(
IF(DataCPD[Publicis Viewability 
'[% Display Ads Fully in View']]&lt;&gt;"NULL",
IF(DataCPD[Brand]=ColumnCPD[[#This Row],[Metric]],
SUBTOTAL(9,OFFSET(DataCPD[Total Impressions],ROW(DataCPD[Total Impressions])-MIN(ROW(DataCPD[Total Impressions])),0,1)))))</f>
        <v>#DIV/0!</v>
      </c>
      <c r="AA11" s="32" t="e">
        <f t="array" aca="1" ref="AA11" ca="1">SUM(
IF(DataCPD[Publicis Viewability 
'[% Videos Fully in View']]&lt;&gt;"NULL",
IF(DataCPD[Brand]=ColumnCPD[[#This Row],[Metric]],
DataCPD[Publicis Viewability 
'[% Videos Fully in View']]*
SUBTOTAL(9,OFFSET(DataCPD[Total Impressions],ROW(DataCPD[Total Impressions])-MIN(ROW(DataCPD[Total Impressions])),0,1)))))
/
SUM(
IF(DataCPD[Publicis Viewability 
'[% Videos Fully in View']]&lt;&gt;"NULL",
IF(DataCPD[Brand]=ColumnCPD[[#This Row],[Metric]],
SUBTOTAL(9,OFFSET(DataCPD[Total Impressions],ROW(DataCPD[Total Impressions])-MIN(ROW(DataCPD[Total Impressions])),0,1)))))</f>
        <v>#DIV/0!</v>
      </c>
      <c r="AB11" s="26"/>
    </row>
    <row r="12" spans="1:121" s="18" customFormat="1" ht="16.5" hidden="1" customHeight="1" x14ac:dyDescent="0.35">
      <c r="A12" s="244"/>
      <c r="B12" s="245"/>
      <c r="C12" s="245"/>
      <c r="D12" s="245"/>
      <c r="E12" s="60"/>
      <c r="F12" s="60"/>
      <c r="G12" s="238" t="s">
        <v>8</v>
      </c>
      <c r="H12" s="238"/>
      <c r="I12" s="267"/>
      <c r="J12" s="106" t="s">
        <v>7</v>
      </c>
      <c r="K12" s="61"/>
      <c r="L12" s="61"/>
      <c r="M12" s="62"/>
      <c r="N12" s="61"/>
      <c r="O12" s="61"/>
      <c r="P12" s="61"/>
      <c r="Q12" s="61"/>
      <c r="R12" s="61"/>
      <c r="S12" s="61"/>
      <c r="T12" s="61"/>
      <c r="U12" s="61"/>
      <c r="V12" s="61"/>
      <c r="W12" s="32"/>
      <c r="X12" s="61"/>
      <c r="Y12" s="61"/>
      <c r="Z12" s="61"/>
      <c r="AA12" s="61"/>
      <c r="AB12" s="26"/>
    </row>
    <row r="13" spans="1:121" s="18" customFormat="1" ht="15.75" hidden="1" customHeight="1" x14ac:dyDescent="0.35">
      <c r="B13" s="33"/>
      <c r="C13" s="33"/>
      <c r="D13" s="33"/>
      <c r="E13" s="63"/>
      <c r="F13" s="57"/>
      <c r="G13" s="238" t="s">
        <v>8</v>
      </c>
      <c r="H13" s="238"/>
      <c r="I13" s="267"/>
      <c r="J13" s="107" t="s">
        <v>6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1</v>
      </c>
      <c r="AA13" s="108">
        <v>0</v>
      </c>
      <c r="AB13" s="26"/>
    </row>
    <row r="14" spans="1:121" s="18" customFormat="1" ht="15.75" customHeight="1" thickBot="1" x14ac:dyDescent="0.4">
      <c r="B14" s="35"/>
      <c r="C14" s="22"/>
      <c r="D14" s="22"/>
      <c r="E14" s="55"/>
      <c r="F14" s="55"/>
      <c r="G14" s="55"/>
      <c r="H14" s="13" t="s">
        <v>21</v>
      </c>
      <c r="I14" s="13" t="s">
        <v>21</v>
      </c>
      <c r="J14" s="37"/>
      <c r="K14" s="38"/>
      <c r="L14" s="38"/>
      <c r="M14" s="38"/>
      <c r="N14" s="38"/>
      <c r="O14" s="38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DQ14" s="26"/>
    </row>
    <row r="15" spans="1:121" s="20" customFormat="1" ht="42.75" customHeight="1" thickBot="1" x14ac:dyDescent="0.3">
      <c r="B15" s="40" t="s">
        <v>31</v>
      </c>
      <c r="C15" s="40" t="s">
        <v>20</v>
      </c>
      <c r="D15" s="84" t="s">
        <v>9</v>
      </c>
      <c r="E15" s="85" t="s">
        <v>141</v>
      </c>
      <c r="F15" s="85" t="s">
        <v>22</v>
      </c>
      <c r="G15" s="85" t="s">
        <v>38</v>
      </c>
      <c r="H15" s="25" t="s">
        <v>19</v>
      </c>
      <c r="I15" s="41" t="s">
        <v>11</v>
      </c>
      <c r="J15" s="42" t="s">
        <v>13</v>
      </c>
      <c r="K15" s="42" t="s">
        <v>4</v>
      </c>
      <c r="L15" s="42" t="s">
        <v>162</v>
      </c>
      <c r="M15" s="42" t="s">
        <v>23</v>
      </c>
      <c r="N15" s="42" t="s">
        <v>5</v>
      </c>
      <c r="O15" s="42" t="s">
        <v>24</v>
      </c>
      <c r="P15" s="42" t="s">
        <v>25</v>
      </c>
      <c r="Q15" s="42" t="s">
        <v>26</v>
      </c>
      <c r="R15" s="42" t="s">
        <v>27</v>
      </c>
      <c r="S15" s="42" t="s">
        <v>156</v>
      </c>
      <c r="T15" s="42" t="s">
        <v>28</v>
      </c>
      <c r="U15" s="42" t="s">
        <v>157</v>
      </c>
      <c r="V15" s="42" t="s">
        <v>158</v>
      </c>
      <c r="W15" s="42" t="s">
        <v>159</v>
      </c>
      <c r="X15" s="42" t="s">
        <v>160</v>
      </c>
      <c r="Y15" s="25" t="s">
        <v>161</v>
      </c>
      <c r="Z15" s="25" t="s">
        <v>163</v>
      </c>
      <c r="AA15" s="25" t="s">
        <v>164</v>
      </c>
    </row>
    <row r="16" spans="1:121" s="11" customFormat="1" ht="15" customHeight="1" thickBot="1" x14ac:dyDescent="0.3">
      <c r="B16" s="43" t="str">
        <f>IFERROR(
IF(DataCPD[[#Headers],[Brand]]="Brand",VLOOKUP(DataCPD[[#This Row],[Campaign]],Map_Campaign[],2,0),
IF(DataCPD[[#Headers],[Brand]]="Region (Team)",VLOOKUP(DataCPD[[#This Row],[Team]],Map_Team[],2,0),
IF(DataCPD[[#Headers],[Brand]]="Region (Campaign)",VLOOKUP(DataCPD[[#This Row],[Campaign]],Map_Campaign[],3,0),
IF(DataCPD[[#Headers],[Brand]]="Partner Type",VLOOKUP(DataCPD[[#This Row],[Partner]],Map_Partner[],2,0),
IF(DataCPD[[#Headers],[Brand]]="Device Type",VLOOKUP(DataCPD[[#This Row],[Placement]],Map_Placement[],3,0),
IF(DataCPD[[#Headers],[Brand]]="Creative Size",VLOOKUP(DataCPD[[#This Row],[Placement]],Map_Placement[],2,0),"Not a mapping option.")))))),
"[Unmapped]")</f>
        <v>[Unmapped]</v>
      </c>
      <c r="C16" s="45" t="s">
        <v>10</v>
      </c>
      <c r="D16" s="91" t="s">
        <v>153</v>
      </c>
      <c r="E16" s="86" t="s">
        <v>142</v>
      </c>
      <c r="F16" s="86" t="s">
        <v>10</v>
      </c>
      <c r="G16" s="86" t="s">
        <v>126</v>
      </c>
      <c r="H16" s="86" t="s">
        <v>124</v>
      </c>
      <c r="I16" s="87">
        <v>292953764</v>
      </c>
      <c r="J16" s="88">
        <v>450881961</v>
      </c>
      <c r="K16" s="89">
        <v>0.7</v>
      </c>
      <c r="L16" s="89">
        <v>0.98</v>
      </c>
      <c r="M16" s="89">
        <v>0.95</v>
      </c>
      <c r="N16" s="89">
        <v>0.05</v>
      </c>
      <c r="O16" s="89">
        <v>0.02</v>
      </c>
      <c r="P16" s="89">
        <v>0.02</v>
      </c>
      <c r="Q16" s="89">
        <v>0.01</v>
      </c>
      <c r="R16" s="89">
        <v>0.01</v>
      </c>
      <c r="S16" s="89">
        <v>0.01</v>
      </c>
      <c r="T16" s="89">
        <v>0.03</v>
      </c>
      <c r="U16" s="89">
        <v>0.55000000000000004</v>
      </c>
      <c r="V16" s="89">
        <v>0.6</v>
      </c>
      <c r="W16" s="89">
        <v>0.5</v>
      </c>
      <c r="X16" s="89">
        <v>0.35</v>
      </c>
      <c r="Y16" s="89">
        <v>0.25</v>
      </c>
      <c r="Z16" s="89">
        <v>0.35</v>
      </c>
      <c r="AA16" s="89">
        <v>0.25</v>
      </c>
    </row>
    <row r="21" spans="6:7" ht="15" customHeight="1" x14ac:dyDescent="0.25">
      <c r="F21" s="51"/>
      <c r="G21" s="51"/>
    </row>
  </sheetData>
  <sheetProtection formatCells="0" insertColumns="0" insertRows="0" insertHyperlinks="0" deleteColumns="0" deleteRows="0" selectLockedCells="1" sort="0" autoFilter="0" pivotTables="0"/>
  <mergeCells count="10">
    <mergeCell ref="G13:I13"/>
    <mergeCell ref="G12:I12"/>
    <mergeCell ref="G8:I8"/>
    <mergeCell ref="G7:I7"/>
    <mergeCell ref="G6:I6"/>
    <mergeCell ref="A12:D12"/>
    <mergeCell ref="A11:D11"/>
    <mergeCell ref="B9:F9"/>
    <mergeCell ref="D6:E6"/>
    <mergeCell ref="D8:E8"/>
  </mergeCells>
  <conditionalFormatting sqref="K16:AA16">
    <cfRule type="cellIs" dxfId="72" priority="8" operator="equal">
      <formula>""</formula>
    </cfRule>
  </conditionalFormatting>
  <conditionalFormatting sqref="A6:D6 A1:XFD5 A8:D8 F6:XFD6 A7:J7 F8:XFD8 A9:XFD1048576 AB7:XFD7">
    <cfRule type="expression" dxfId="71" priority="7">
      <formula>ISERROR(A1)</formula>
    </cfRule>
  </conditionalFormatting>
  <conditionalFormatting sqref="K16:AA16 K9:AA11">
    <cfRule type="expression" dxfId="70" priority="10">
      <formula>IF(K$7="N/A",0,IF(K$7="Above",K9&lt;=(1-$J$4)*K$8,K9&gt;=(1+$J$4)*K$8))</formula>
    </cfRule>
    <cfRule type="expression" dxfId="69" priority="11">
      <formula>IF(OR(K$7="N/A",K9=0),0,IF(K$7="Above",K9&gt;=(1+$J$3)*K$8,K9&lt;=(1-$J$3)*K$8))</formula>
    </cfRule>
  </conditionalFormatting>
  <conditionalFormatting sqref="K7:AA7">
    <cfRule type="expression" dxfId="68" priority="1">
      <formula>ISERROR(K7)</formula>
    </cfRule>
  </conditionalFormatting>
  <dataValidations disablePrompts="1" count="8">
    <dataValidation allowBlank="1" showInputMessage="1" showErrorMessage="1" errorTitle="Invalid Entry" error="Please select/enter a value from 1 to 5 from the dropdown." sqref="J9 K10:AA11 AB12:XFD13 J11 G9 A13:D13" xr:uid="{00000000-0002-0000-0800-000000000000}"/>
    <dataValidation type="list" allowBlank="1" showInputMessage="1" showErrorMessage="1" errorTitle="Invalid Entry" error="Please select/enter a value from 1 to 5 from the dropdown." sqref="J10" xr:uid="{00000000-0002-0000-0800-000001000000}">
      <formula1>DeviceDropdown</formula1>
    </dataValidation>
    <dataValidation type="list" allowBlank="1" showInputMessage="1" showErrorMessage="1" errorTitle="Invalid Entry" error="Please select/enter a value from 1 to 5 from the dropdown." sqref="K13:AA13" xr:uid="{00000000-0002-0000-0800-000002000000}">
      <formula1>"0,1,2,3,4,5"</formula1>
    </dataValidation>
    <dataValidation type="list" allowBlank="1" showInputMessage="1" showErrorMessage="1" sqref="B15" xr:uid="{00000000-0002-0000-0800-000003000000}">
      <formula1>"Brand, Region (Team), Region (Campaign), Partner Type"</formula1>
    </dataValidation>
    <dataValidation type="list" allowBlank="1" showInputMessage="1" showErrorMessage="1" errorTitle="Invalid Entry" error="Please select a benchmark from the dropdown." promptTitle="Benchmarks" prompt="Please select a benchmark from the dropdown." sqref="J8" xr:uid="{00000000-0002-0000-0800-000005000000}">
      <formula1>BMRK_List</formula1>
    </dataValidation>
    <dataValidation allowBlank="1" showInputMessage="1" showErrorMessage="1" prompt="Cell will highlight yellow if performance deviates by more than this percentage of the client goal." sqref="J3" xr:uid="{00000000-0002-0000-0800-000006000000}"/>
    <dataValidation allowBlank="1" showInputMessage="1" showErrorMessage="1" prompt="Cell will highlight red if performance deviates by more than this percentage of the client goal." sqref="J4" xr:uid="{00000000-0002-0000-0800-000007000000}"/>
    <dataValidation type="list" allowBlank="1" showInputMessage="1" showErrorMessage="1" sqref="X27" xr:uid="{00000000-0002-0000-0800-000004000000}">
      <formula1>#REF!</formula1>
    </dataValidation>
  </dataValidation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F41F8383-FF75-431C-8426-1ED11B5653E3}">
            <xm:f>NOT(ISERROR(SEARCH("NULL",K16)))</xm:f>
            <xm:f>"NULL"</xm:f>
            <x14:dxf>
              <font>
                <color theme="0" tint="-0.34998626667073579"/>
              </font>
              <fill>
                <patternFill patternType="solid">
                  <fgColor indexed="64"/>
                  <bgColor theme="0"/>
                </patternFill>
              </fill>
            </x14:dxf>
          </x14:cfRule>
          <xm:sqref>K16:AA16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"/>
  <dimension ref="B1:C21"/>
  <sheetViews>
    <sheetView zoomScale="80" zoomScaleNormal="80" zoomScalePageLayoutView="80" workbookViewId="0"/>
  </sheetViews>
  <sheetFormatPr defaultColWidth="9.1796875" defaultRowHeight="27" customHeight="1" x14ac:dyDescent="0.3"/>
  <cols>
    <col min="1" max="1" width="4.7265625" style="6" customWidth="1"/>
    <col min="2" max="2" width="40.7265625" style="6" customWidth="1"/>
    <col min="3" max="6" width="35.7265625" style="6" customWidth="1"/>
    <col min="7" max="16384" width="9.1796875" style="6"/>
  </cols>
  <sheetData>
    <row r="1" spans="2:3" ht="14.5" thickBot="1" x14ac:dyDescent="0.35"/>
    <row r="2" spans="2:3" ht="81" customHeight="1" thickBot="1" x14ac:dyDescent="0.35">
      <c r="B2" s="270" t="s">
        <v>15</v>
      </c>
      <c r="C2" s="271"/>
    </row>
    <row r="3" spans="2:3" ht="14" x14ac:dyDescent="0.3"/>
    <row r="4" spans="2:3" ht="45" customHeight="1" x14ac:dyDescent="0.3">
      <c r="B4" s="9" t="s">
        <v>1</v>
      </c>
      <c r="C4" s="9" t="s">
        <v>16</v>
      </c>
    </row>
    <row r="5" spans="2:3" ht="27" customHeight="1" x14ac:dyDescent="0.3">
      <c r="B5" s="7" t="s">
        <v>4</v>
      </c>
      <c r="C5" s="8">
        <v>0.7</v>
      </c>
    </row>
    <row r="6" spans="2:3" ht="27" customHeight="1" x14ac:dyDescent="0.3">
      <c r="B6" s="7" t="s">
        <v>162</v>
      </c>
      <c r="C6" s="8">
        <v>0.98</v>
      </c>
    </row>
    <row r="7" spans="2:3" ht="27" customHeight="1" x14ac:dyDescent="0.3">
      <c r="B7" s="7" t="s">
        <v>23</v>
      </c>
      <c r="C7" s="8">
        <v>0.95</v>
      </c>
    </row>
    <row r="8" spans="2:3" ht="27" customHeight="1" x14ac:dyDescent="0.3">
      <c r="B8" s="7" t="s">
        <v>5</v>
      </c>
      <c r="C8" s="8">
        <v>0.05</v>
      </c>
    </row>
    <row r="9" spans="2:3" ht="27" customHeight="1" x14ac:dyDescent="0.3">
      <c r="B9" s="7" t="s">
        <v>24</v>
      </c>
      <c r="C9" s="8">
        <v>0.02</v>
      </c>
    </row>
    <row r="10" spans="2:3" ht="27" customHeight="1" x14ac:dyDescent="0.3">
      <c r="B10" s="7" t="s">
        <v>25</v>
      </c>
      <c r="C10" s="8">
        <v>0.02</v>
      </c>
    </row>
    <row r="11" spans="2:3" ht="27" customHeight="1" x14ac:dyDescent="0.3">
      <c r="B11" s="7" t="s">
        <v>26</v>
      </c>
      <c r="C11" s="8">
        <v>0.01</v>
      </c>
    </row>
    <row r="12" spans="2:3" ht="27" customHeight="1" x14ac:dyDescent="0.3">
      <c r="B12" s="7" t="s">
        <v>27</v>
      </c>
      <c r="C12" s="8">
        <v>0.01</v>
      </c>
    </row>
    <row r="13" spans="2:3" ht="27" customHeight="1" x14ac:dyDescent="0.3">
      <c r="B13" s="7" t="s">
        <v>156</v>
      </c>
      <c r="C13" s="8">
        <v>0.01</v>
      </c>
    </row>
    <row r="14" spans="2:3" ht="27" customHeight="1" x14ac:dyDescent="0.3">
      <c r="B14" s="7" t="s">
        <v>28</v>
      </c>
      <c r="C14" s="8">
        <v>0.03</v>
      </c>
    </row>
    <row r="15" spans="2:3" ht="27" customHeight="1" x14ac:dyDescent="0.3">
      <c r="B15" s="7" t="s">
        <v>157</v>
      </c>
      <c r="C15" s="8">
        <v>0.55000000000000004</v>
      </c>
    </row>
    <row r="16" spans="2:3" ht="27" customHeight="1" x14ac:dyDescent="0.3">
      <c r="B16" s="7" t="s">
        <v>158</v>
      </c>
      <c r="C16" s="8">
        <v>0.6</v>
      </c>
    </row>
    <row r="17" spans="2:3" ht="27" customHeight="1" x14ac:dyDescent="0.3">
      <c r="B17" s="7" t="s">
        <v>159</v>
      </c>
      <c r="C17" s="8">
        <v>0.5</v>
      </c>
    </row>
    <row r="18" spans="2:3" ht="27" customHeight="1" x14ac:dyDescent="0.3">
      <c r="B18" s="7" t="s">
        <v>160</v>
      </c>
      <c r="C18" s="8">
        <v>0.35</v>
      </c>
    </row>
    <row r="19" spans="2:3" ht="27" customHeight="1" x14ac:dyDescent="0.3">
      <c r="B19" s="7" t="s">
        <v>161</v>
      </c>
      <c r="C19" s="8">
        <v>0.25</v>
      </c>
    </row>
    <row r="20" spans="2:3" ht="27" customHeight="1" x14ac:dyDescent="0.3">
      <c r="B20" s="7" t="s">
        <v>163</v>
      </c>
      <c r="C20" s="8">
        <v>0.35</v>
      </c>
    </row>
    <row r="21" spans="2:3" ht="27" customHeight="1" x14ac:dyDescent="0.3">
      <c r="B21" s="7" t="s">
        <v>164</v>
      </c>
      <c r="C21" s="8">
        <v>0.25</v>
      </c>
    </row>
  </sheetData>
  <mergeCells count="1">
    <mergeCell ref="B2:C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V81"/>
  <sheetViews>
    <sheetView showGridLines="0" zoomScale="78" zoomScaleNormal="78" workbookViewId="0"/>
  </sheetViews>
  <sheetFormatPr defaultColWidth="0" defaultRowHeight="14.5" x14ac:dyDescent="0.35"/>
  <cols>
    <col min="1" max="1" width="2.1796875" style="1" customWidth="1"/>
    <col min="2" max="2" width="34.81640625" style="1" customWidth="1"/>
    <col min="3" max="3" width="11.54296875" style="1" customWidth="1"/>
    <col min="4" max="4" width="3" style="1" customWidth="1"/>
    <col min="5" max="5" width="34.81640625" style="1" customWidth="1"/>
    <col min="6" max="7" width="11.54296875" style="1" customWidth="1"/>
    <col min="8" max="8" width="3" style="1" customWidth="1"/>
    <col min="9" max="9" width="37.1796875" style="1" customWidth="1"/>
    <col min="10" max="10" width="28" style="1" customWidth="1"/>
    <col min="11" max="11" width="3" style="1" customWidth="1"/>
    <col min="12" max="12" width="52.1796875" style="1" customWidth="1"/>
    <col min="13" max="13" width="14.453125" style="1" customWidth="1"/>
    <col min="14" max="14" width="24.26953125" style="1" customWidth="1"/>
    <col min="15" max="15" width="2.1796875" style="1" customWidth="1"/>
    <col min="16" max="16" width="22.453125" style="1" hidden="1" customWidth="1"/>
    <col min="17" max="17" width="11" style="1" hidden="1" customWidth="1"/>
    <col min="18" max="18" width="19.453125" style="1" hidden="1" customWidth="1"/>
    <col min="19" max="19" width="10.453125" style="1" hidden="1" customWidth="1"/>
    <col min="20" max="20" width="11" style="1" hidden="1" customWidth="1"/>
    <col min="21" max="21" width="19.453125" style="1" hidden="1" customWidth="1"/>
    <col min="22" max="22" width="10.453125" style="1" hidden="1" customWidth="1"/>
    <col min="23" max="16384" width="9.1796875" style="1" hidden="1"/>
  </cols>
  <sheetData>
    <row r="2" spans="2:16" s="3" customFormat="1" x14ac:dyDescent="0.35">
      <c r="B2" s="3" t="s">
        <v>148</v>
      </c>
      <c r="E2" s="3" t="s">
        <v>147</v>
      </c>
      <c r="I2" s="3" t="s">
        <v>125</v>
      </c>
      <c r="L2" s="3" t="s">
        <v>49</v>
      </c>
      <c r="P2" s="3" t="s">
        <v>131</v>
      </c>
    </row>
    <row r="4" spans="2:16" s="4" customFormat="1" x14ac:dyDescent="0.35">
      <c r="B4" s="2" t="s">
        <v>20</v>
      </c>
      <c r="C4" s="2" t="s">
        <v>29</v>
      </c>
      <c r="E4" s="2" t="s">
        <v>9</v>
      </c>
      <c r="F4" s="2" t="s">
        <v>31</v>
      </c>
      <c r="G4" s="2" t="s">
        <v>29</v>
      </c>
      <c r="I4" s="2" t="s">
        <v>141</v>
      </c>
      <c r="J4" s="2" t="s">
        <v>146</v>
      </c>
      <c r="K4" s="2"/>
      <c r="L4" s="2" t="s">
        <v>22</v>
      </c>
      <c r="M4" s="2" t="s">
        <v>37</v>
      </c>
      <c r="N4" s="2" t="s">
        <v>38</v>
      </c>
      <c r="P4" s="5" t="s">
        <v>126</v>
      </c>
    </row>
    <row r="5" spans="2:16" x14ac:dyDescent="0.35">
      <c r="B5" s="1" t="s">
        <v>35</v>
      </c>
      <c r="C5" s="1" t="s">
        <v>30</v>
      </c>
      <c r="E5" s="1" t="s">
        <v>48</v>
      </c>
      <c r="F5" s="1" t="s">
        <v>32</v>
      </c>
      <c r="G5" s="1" t="s">
        <v>30</v>
      </c>
      <c r="I5" s="1" t="s">
        <v>142</v>
      </c>
      <c r="J5" s="1" t="s">
        <v>149</v>
      </c>
      <c r="L5" s="1" t="s">
        <v>50</v>
      </c>
      <c r="M5" s="1" t="s">
        <v>36</v>
      </c>
      <c r="N5" s="1" t="s">
        <v>45</v>
      </c>
      <c r="P5" s="1" t="s">
        <v>134</v>
      </c>
    </row>
    <row r="6" spans="2:16" x14ac:dyDescent="0.35">
      <c r="B6" s="1" t="s">
        <v>40</v>
      </c>
      <c r="C6" s="1" t="s">
        <v>42</v>
      </c>
      <c r="E6" s="1" t="s">
        <v>17</v>
      </c>
      <c r="F6" s="1" t="s">
        <v>33</v>
      </c>
      <c r="G6" s="1" t="s">
        <v>42</v>
      </c>
      <c r="I6" s="1" t="s">
        <v>143</v>
      </c>
      <c r="J6" s="1" t="s">
        <v>150</v>
      </c>
      <c r="L6" s="1" t="s">
        <v>51</v>
      </c>
      <c r="M6" s="1" t="s">
        <v>39</v>
      </c>
      <c r="N6" s="1" t="s">
        <v>46</v>
      </c>
      <c r="P6" s="1" t="s">
        <v>127</v>
      </c>
    </row>
    <row r="7" spans="2:16" x14ac:dyDescent="0.35">
      <c r="B7" s="1" t="s">
        <v>41</v>
      </c>
      <c r="C7" s="1" t="s">
        <v>43</v>
      </c>
      <c r="E7" s="1" t="s">
        <v>18</v>
      </c>
      <c r="F7" s="1" t="s">
        <v>34</v>
      </c>
      <c r="G7" s="1" t="s">
        <v>43</v>
      </c>
      <c r="I7" s="1" t="s">
        <v>144</v>
      </c>
      <c r="J7" s="1" t="s">
        <v>150</v>
      </c>
      <c r="L7" s="1" t="s">
        <v>52</v>
      </c>
      <c r="M7" s="1" t="s">
        <v>44</v>
      </c>
      <c r="N7" s="1" t="s">
        <v>47</v>
      </c>
      <c r="P7" s="1" t="s">
        <v>135</v>
      </c>
    </row>
    <row r="8" spans="2:16" x14ac:dyDescent="0.35">
      <c r="L8" s="1" t="s">
        <v>50</v>
      </c>
      <c r="M8" s="1" t="s">
        <v>36</v>
      </c>
      <c r="N8" s="1" t="s">
        <v>45</v>
      </c>
      <c r="P8" s="1" t="s">
        <v>136</v>
      </c>
    </row>
    <row r="9" spans="2:16" x14ac:dyDescent="0.35">
      <c r="L9" s="1" t="s">
        <v>51</v>
      </c>
      <c r="M9" s="1" t="s">
        <v>39</v>
      </c>
      <c r="N9" s="1" t="s">
        <v>46</v>
      </c>
      <c r="P9" s="1" t="s">
        <v>137</v>
      </c>
    </row>
    <row r="10" spans="2:16" x14ac:dyDescent="0.35">
      <c r="L10" s="1" t="s">
        <v>52</v>
      </c>
      <c r="M10" s="1" t="s">
        <v>44</v>
      </c>
      <c r="N10" s="1" t="s">
        <v>47</v>
      </c>
      <c r="P10" s="1" t="s">
        <v>128</v>
      </c>
    </row>
    <row r="11" spans="2:16" x14ac:dyDescent="0.35">
      <c r="L11" s="1" t="s">
        <v>53</v>
      </c>
      <c r="M11" s="1" t="s">
        <v>36</v>
      </c>
      <c r="N11" s="1" t="s">
        <v>45</v>
      </c>
      <c r="P11" s="1" t="s">
        <v>138</v>
      </c>
    </row>
    <row r="12" spans="2:16" x14ac:dyDescent="0.35">
      <c r="L12" s="1" t="s">
        <v>54</v>
      </c>
      <c r="M12" s="1" t="s">
        <v>39</v>
      </c>
      <c r="N12" s="1" t="s">
        <v>46</v>
      </c>
      <c r="P12" s="1" t="s">
        <v>129</v>
      </c>
    </row>
    <row r="13" spans="2:16" x14ac:dyDescent="0.35">
      <c r="L13" s="1" t="s">
        <v>55</v>
      </c>
      <c r="M13" s="1" t="s">
        <v>44</v>
      </c>
      <c r="N13" s="1" t="s">
        <v>47</v>
      </c>
      <c r="P13" s="1" t="s">
        <v>139</v>
      </c>
    </row>
    <row r="14" spans="2:16" x14ac:dyDescent="0.35">
      <c r="L14" s="1" t="s">
        <v>56</v>
      </c>
      <c r="M14" s="1" t="s">
        <v>36</v>
      </c>
      <c r="N14" s="1" t="s">
        <v>45</v>
      </c>
    </row>
    <row r="15" spans="2:16" x14ac:dyDescent="0.35">
      <c r="L15" s="1" t="s">
        <v>57</v>
      </c>
      <c r="M15" s="1" t="s">
        <v>39</v>
      </c>
      <c r="N15" s="1" t="s">
        <v>46</v>
      </c>
    </row>
    <row r="16" spans="2:16" x14ac:dyDescent="0.35">
      <c r="L16" s="1" t="s">
        <v>58</v>
      </c>
      <c r="M16" s="1" t="s">
        <v>44</v>
      </c>
      <c r="N16" s="1" t="s">
        <v>47</v>
      </c>
    </row>
    <row r="17" spans="12:14" x14ac:dyDescent="0.35">
      <c r="L17" s="1" t="s">
        <v>59</v>
      </c>
      <c r="M17" s="1" t="s">
        <v>36</v>
      </c>
      <c r="N17" s="1" t="s">
        <v>45</v>
      </c>
    </row>
    <row r="18" spans="12:14" x14ac:dyDescent="0.35">
      <c r="L18" s="1" t="s">
        <v>60</v>
      </c>
      <c r="M18" s="1" t="s">
        <v>39</v>
      </c>
      <c r="N18" s="1" t="s">
        <v>46</v>
      </c>
    </row>
    <row r="19" spans="12:14" x14ac:dyDescent="0.35">
      <c r="L19" s="1" t="s">
        <v>61</v>
      </c>
      <c r="M19" s="1" t="s">
        <v>44</v>
      </c>
      <c r="N19" s="1" t="s">
        <v>47</v>
      </c>
    </row>
    <row r="20" spans="12:14" x14ac:dyDescent="0.35">
      <c r="L20" s="1" t="s">
        <v>62</v>
      </c>
      <c r="M20" s="1" t="s">
        <v>36</v>
      </c>
      <c r="N20" s="1" t="s">
        <v>45</v>
      </c>
    </row>
    <row r="21" spans="12:14" x14ac:dyDescent="0.35">
      <c r="L21" s="1" t="s">
        <v>63</v>
      </c>
      <c r="M21" s="1" t="s">
        <v>39</v>
      </c>
      <c r="N21" s="1" t="s">
        <v>46</v>
      </c>
    </row>
    <row r="22" spans="12:14" x14ac:dyDescent="0.35">
      <c r="L22" s="1" t="s">
        <v>64</v>
      </c>
      <c r="M22" s="1" t="s">
        <v>44</v>
      </c>
      <c r="N22" s="1" t="s">
        <v>47</v>
      </c>
    </row>
    <row r="23" spans="12:14" x14ac:dyDescent="0.35">
      <c r="L23" s="1" t="s">
        <v>65</v>
      </c>
      <c r="M23" s="1" t="s">
        <v>36</v>
      </c>
      <c r="N23" s="1" t="s">
        <v>45</v>
      </c>
    </row>
    <row r="24" spans="12:14" x14ac:dyDescent="0.35">
      <c r="L24" s="1" t="s">
        <v>66</v>
      </c>
      <c r="M24" s="1" t="s">
        <v>39</v>
      </c>
      <c r="N24" s="1" t="s">
        <v>46</v>
      </c>
    </row>
    <row r="25" spans="12:14" x14ac:dyDescent="0.35">
      <c r="L25" s="1" t="s">
        <v>67</v>
      </c>
      <c r="M25" s="1" t="s">
        <v>44</v>
      </c>
      <c r="N25" s="1" t="s">
        <v>47</v>
      </c>
    </row>
    <row r="26" spans="12:14" x14ac:dyDescent="0.35">
      <c r="L26" s="1" t="s">
        <v>68</v>
      </c>
      <c r="M26" s="1" t="s">
        <v>36</v>
      </c>
      <c r="N26" s="1" t="s">
        <v>45</v>
      </c>
    </row>
    <row r="27" spans="12:14" x14ac:dyDescent="0.35">
      <c r="L27" s="1" t="s">
        <v>69</v>
      </c>
      <c r="M27" s="1" t="s">
        <v>39</v>
      </c>
      <c r="N27" s="1" t="s">
        <v>46</v>
      </c>
    </row>
    <row r="28" spans="12:14" x14ac:dyDescent="0.35">
      <c r="L28" s="1" t="s">
        <v>70</v>
      </c>
      <c r="M28" s="1" t="s">
        <v>44</v>
      </c>
      <c r="N28" s="1" t="s">
        <v>47</v>
      </c>
    </row>
    <row r="29" spans="12:14" x14ac:dyDescent="0.35">
      <c r="L29" s="1" t="s">
        <v>71</v>
      </c>
      <c r="M29" s="1" t="s">
        <v>36</v>
      </c>
      <c r="N29" s="1" t="s">
        <v>45</v>
      </c>
    </row>
    <row r="30" spans="12:14" x14ac:dyDescent="0.35">
      <c r="L30" s="1" t="s">
        <v>72</v>
      </c>
      <c r="M30" s="1" t="s">
        <v>39</v>
      </c>
      <c r="N30" s="1" t="s">
        <v>46</v>
      </c>
    </row>
    <row r="31" spans="12:14" x14ac:dyDescent="0.35">
      <c r="L31" s="1" t="s">
        <v>73</v>
      </c>
      <c r="M31" s="1" t="s">
        <v>44</v>
      </c>
      <c r="N31" s="1" t="s">
        <v>47</v>
      </c>
    </row>
    <row r="32" spans="12:14" x14ac:dyDescent="0.35">
      <c r="L32" s="1" t="s">
        <v>74</v>
      </c>
      <c r="M32" s="1" t="s">
        <v>36</v>
      </c>
      <c r="N32" s="1" t="s">
        <v>45</v>
      </c>
    </row>
    <row r="33" spans="12:14" x14ac:dyDescent="0.35">
      <c r="L33" s="1" t="s">
        <v>75</v>
      </c>
      <c r="M33" s="1" t="s">
        <v>39</v>
      </c>
      <c r="N33" s="1" t="s">
        <v>46</v>
      </c>
    </row>
    <row r="34" spans="12:14" x14ac:dyDescent="0.35">
      <c r="L34" s="1" t="s">
        <v>76</v>
      </c>
      <c r="M34" s="1" t="s">
        <v>44</v>
      </c>
      <c r="N34" s="1" t="s">
        <v>47</v>
      </c>
    </row>
    <row r="35" spans="12:14" x14ac:dyDescent="0.35">
      <c r="L35" s="1" t="s">
        <v>77</v>
      </c>
      <c r="M35" s="1" t="s">
        <v>36</v>
      </c>
      <c r="N35" s="1" t="s">
        <v>45</v>
      </c>
    </row>
    <row r="36" spans="12:14" x14ac:dyDescent="0.35">
      <c r="L36" s="1" t="s">
        <v>78</v>
      </c>
      <c r="M36" s="1" t="s">
        <v>39</v>
      </c>
      <c r="N36" s="1" t="s">
        <v>46</v>
      </c>
    </row>
    <row r="37" spans="12:14" x14ac:dyDescent="0.35">
      <c r="L37" s="1" t="s">
        <v>79</v>
      </c>
      <c r="M37" s="1" t="s">
        <v>44</v>
      </c>
      <c r="N37" s="1" t="s">
        <v>47</v>
      </c>
    </row>
    <row r="38" spans="12:14" x14ac:dyDescent="0.35">
      <c r="L38" s="1" t="s">
        <v>80</v>
      </c>
      <c r="M38" s="1" t="s">
        <v>36</v>
      </c>
      <c r="N38" s="1" t="s">
        <v>45</v>
      </c>
    </row>
    <row r="39" spans="12:14" x14ac:dyDescent="0.35">
      <c r="L39" s="1" t="s">
        <v>81</v>
      </c>
      <c r="M39" s="1" t="s">
        <v>39</v>
      </c>
      <c r="N39" s="1" t="s">
        <v>46</v>
      </c>
    </row>
    <row r="40" spans="12:14" x14ac:dyDescent="0.35">
      <c r="L40" s="1" t="s">
        <v>82</v>
      </c>
      <c r="M40" s="1" t="s">
        <v>44</v>
      </c>
      <c r="N40" s="1" t="s">
        <v>47</v>
      </c>
    </row>
    <row r="41" spans="12:14" x14ac:dyDescent="0.35">
      <c r="L41" s="1" t="s">
        <v>83</v>
      </c>
      <c r="M41" s="1" t="s">
        <v>36</v>
      </c>
      <c r="N41" s="1" t="s">
        <v>45</v>
      </c>
    </row>
    <row r="42" spans="12:14" x14ac:dyDescent="0.35">
      <c r="L42" s="1" t="s">
        <v>84</v>
      </c>
      <c r="M42" s="1" t="s">
        <v>39</v>
      </c>
      <c r="N42" s="1" t="s">
        <v>46</v>
      </c>
    </row>
    <row r="43" spans="12:14" x14ac:dyDescent="0.35">
      <c r="L43" s="1" t="s">
        <v>85</v>
      </c>
      <c r="M43" s="1" t="s">
        <v>44</v>
      </c>
      <c r="N43" s="1" t="s">
        <v>47</v>
      </c>
    </row>
    <row r="44" spans="12:14" x14ac:dyDescent="0.35">
      <c r="L44" s="1" t="s">
        <v>86</v>
      </c>
      <c r="M44" s="1" t="s">
        <v>36</v>
      </c>
      <c r="N44" s="1" t="s">
        <v>45</v>
      </c>
    </row>
    <row r="45" spans="12:14" x14ac:dyDescent="0.35">
      <c r="L45" s="1" t="s">
        <v>87</v>
      </c>
      <c r="M45" s="1" t="s">
        <v>39</v>
      </c>
      <c r="N45" s="1" t="s">
        <v>46</v>
      </c>
    </row>
    <row r="46" spans="12:14" x14ac:dyDescent="0.35">
      <c r="L46" s="1" t="s">
        <v>88</v>
      </c>
      <c r="M46" s="1" t="s">
        <v>44</v>
      </c>
      <c r="N46" s="1" t="s">
        <v>47</v>
      </c>
    </row>
    <row r="47" spans="12:14" x14ac:dyDescent="0.35">
      <c r="L47" s="1" t="s">
        <v>89</v>
      </c>
      <c r="M47" s="1" t="s">
        <v>36</v>
      </c>
      <c r="N47" s="1" t="s">
        <v>45</v>
      </c>
    </row>
    <row r="48" spans="12:14" x14ac:dyDescent="0.35">
      <c r="L48" s="1" t="s">
        <v>90</v>
      </c>
      <c r="M48" s="1" t="s">
        <v>39</v>
      </c>
      <c r="N48" s="1" t="s">
        <v>46</v>
      </c>
    </row>
    <row r="49" spans="12:14" x14ac:dyDescent="0.35">
      <c r="L49" s="1" t="s">
        <v>123</v>
      </c>
      <c r="M49" s="1" t="s">
        <v>44</v>
      </c>
      <c r="N49" s="1" t="s">
        <v>47</v>
      </c>
    </row>
    <row r="50" spans="12:14" x14ac:dyDescent="0.35">
      <c r="L50" s="1" t="s">
        <v>91</v>
      </c>
      <c r="M50" s="1" t="s">
        <v>36</v>
      </c>
      <c r="N50" s="1" t="s">
        <v>45</v>
      </c>
    </row>
    <row r="51" spans="12:14" x14ac:dyDescent="0.35">
      <c r="L51" s="1" t="s">
        <v>92</v>
      </c>
      <c r="M51" s="1" t="s">
        <v>39</v>
      </c>
      <c r="N51" s="1" t="s">
        <v>46</v>
      </c>
    </row>
    <row r="52" spans="12:14" x14ac:dyDescent="0.35">
      <c r="L52" s="1" t="s">
        <v>93</v>
      </c>
      <c r="M52" s="1" t="s">
        <v>44</v>
      </c>
      <c r="N52" s="1" t="s">
        <v>47</v>
      </c>
    </row>
    <row r="53" spans="12:14" x14ac:dyDescent="0.35">
      <c r="L53" s="1" t="s">
        <v>94</v>
      </c>
      <c r="M53" s="1" t="s">
        <v>36</v>
      </c>
      <c r="N53" s="1" t="s">
        <v>45</v>
      </c>
    </row>
    <row r="54" spans="12:14" x14ac:dyDescent="0.35">
      <c r="L54" s="1" t="s">
        <v>95</v>
      </c>
      <c r="M54" s="1" t="s">
        <v>39</v>
      </c>
      <c r="N54" s="1" t="s">
        <v>46</v>
      </c>
    </row>
    <row r="55" spans="12:14" x14ac:dyDescent="0.35">
      <c r="L55" s="1" t="s">
        <v>96</v>
      </c>
      <c r="M55" s="1" t="s">
        <v>44</v>
      </c>
      <c r="N55" s="1" t="s">
        <v>47</v>
      </c>
    </row>
    <row r="56" spans="12:14" x14ac:dyDescent="0.35">
      <c r="L56" s="1" t="s">
        <v>97</v>
      </c>
      <c r="M56" s="1" t="s">
        <v>36</v>
      </c>
      <c r="N56" s="1" t="s">
        <v>45</v>
      </c>
    </row>
    <row r="57" spans="12:14" x14ac:dyDescent="0.35">
      <c r="L57" s="1" t="s">
        <v>98</v>
      </c>
      <c r="M57" s="1" t="s">
        <v>39</v>
      </c>
      <c r="N57" s="1" t="s">
        <v>46</v>
      </c>
    </row>
    <row r="58" spans="12:14" x14ac:dyDescent="0.35">
      <c r="L58" s="1" t="s">
        <v>99</v>
      </c>
      <c r="M58" s="1" t="s">
        <v>44</v>
      </c>
      <c r="N58" s="1" t="s">
        <v>47</v>
      </c>
    </row>
    <row r="59" spans="12:14" x14ac:dyDescent="0.35">
      <c r="L59" s="1" t="s">
        <v>100</v>
      </c>
      <c r="M59" s="1" t="s">
        <v>36</v>
      </c>
      <c r="N59" s="1" t="s">
        <v>45</v>
      </c>
    </row>
    <row r="60" spans="12:14" x14ac:dyDescent="0.35">
      <c r="L60" s="1" t="s">
        <v>101</v>
      </c>
      <c r="M60" s="1" t="s">
        <v>39</v>
      </c>
      <c r="N60" s="1" t="s">
        <v>46</v>
      </c>
    </row>
    <row r="61" spans="12:14" x14ac:dyDescent="0.35">
      <c r="L61" s="1" t="s">
        <v>102</v>
      </c>
      <c r="M61" s="1" t="s">
        <v>44</v>
      </c>
      <c r="N61" s="1" t="s">
        <v>47</v>
      </c>
    </row>
    <row r="62" spans="12:14" x14ac:dyDescent="0.35">
      <c r="L62" s="1" t="s">
        <v>103</v>
      </c>
      <c r="M62" s="1" t="s">
        <v>36</v>
      </c>
      <c r="N62" s="1" t="s">
        <v>45</v>
      </c>
    </row>
    <row r="63" spans="12:14" x14ac:dyDescent="0.35">
      <c r="L63" s="1" t="s">
        <v>104</v>
      </c>
      <c r="M63" s="1" t="s">
        <v>39</v>
      </c>
      <c r="N63" s="1" t="s">
        <v>46</v>
      </c>
    </row>
    <row r="64" spans="12:14" x14ac:dyDescent="0.35">
      <c r="L64" s="1" t="s">
        <v>105</v>
      </c>
      <c r="M64" s="1" t="s">
        <v>44</v>
      </c>
      <c r="N64" s="1" t="s">
        <v>47</v>
      </c>
    </row>
    <row r="65" spans="12:14" x14ac:dyDescent="0.35">
      <c r="L65" s="1" t="s">
        <v>106</v>
      </c>
      <c r="M65" s="1" t="s">
        <v>36</v>
      </c>
      <c r="N65" s="1" t="s">
        <v>45</v>
      </c>
    </row>
    <row r="66" spans="12:14" x14ac:dyDescent="0.35">
      <c r="L66" s="1" t="s">
        <v>107</v>
      </c>
      <c r="M66" s="1" t="s">
        <v>39</v>
      </c>
      <c r="N66" s="1" t="s">
        <v>46</v>
      </c>
    </row>
    <row r="67" spans="12:14" x14ac:dyDescent="0.35">
      <c r="L67" s="1" t="s">
        <v>108</v>
      </c>
      <c r="M67" s="1" t="s">
        <v>44</v>
      </c>
      <c r="N67" s="1" t="s">
        <v>47</v>
      </c>
    </row>
    <row r="68" spans="12:14" x14ac:dyDescent="0.35">
      <c r="L68" s="1" t="s">
        <v>109</v>
      </c>
      <c r="M68" s="1" t="s">
        <v>36</v>
      </c>
      <c r="N68" s="1" t="s">
        <v>45</v>
      </c>
    </row>
    <row r="69" spans="12:14" x14ac:dyDescent="0.35">
      <c r="L69" s="1" t="s">
        <v>110</v>
      </c>
      <c r="M69" s="1" t="s">
        <v>39</v>
      </c>
      <c r="N69" s="1" t="s">
        <v>46</v>
      </c>
    </row>
    <row r="70" spans="12:14" x14ac:dyDescent="0.35">
      <c r="L70" s="1" t="s">
        <v>111</v>
      </c>
      <c r="M70" s="1" t="s">
        <v>44</v>
      </c>
      <c r="N70" s="1" t="s">
        <v>47</v>
      </c>
    </row>
    <row r="71" spans="12:14" x14ac:dyDescent="0.35">
      <c r="L71" s="1" t="s">
        <v>112</v>
      </c>
      <c r="M71" s="1" t="s">
        <v>36</v>
      </c>
      <c r="N71" s="1" t="s">
        <v>45</v>
      </c>
    </row>
    <row r="72" spans="12:14" x14ac:dyDescent="0.35">
      <c r="L72" s="1" t="s">
        <v>113</v>
      </c>
      <c r="M72" s="1" t="s">
        <v>39</v>
      </c>
      <c r="N72" s="1" t="s">
        <v>46</v>
      </c>
    </row>
    <row r="73" spans="12:14" x14ac:dyDescent="0.35">
      <c r="L73" s="1" t="s">
        <v>114</v>
      </c>
      <c r="M73" s="1" t="s">
        <v>44</v>
      </c>
      <c r="N73" s="1" t="s">
        <v>47</v>
      </c>
    </row>
    <row r="74" spans="12:14" x14ac:dyDescent="0.35">
      <c r="L74" s="1" t="s">
        <v>115</v>
      </c>
      <c r="M74" s="1" t="s">
        <v>36</v>
      </c>
      <c r="N74" s="1" t="s">
        <v>45</v>
      </c>
    </row>
    <row r="75" spans="12:14" x14ac:dyDescent="0.35">
      <c r="L75" s="1" t="s">
        <v>116</v>
      </c>
      <c r="M75" s="1" t="s">
        <v>39</v>
      </c>
      <c r="N75" s="1" t="s">
        <v>46</v>
      </c>
    </row>
    <row r="76" spans="12:14" x14ac:dyDescent="0.35">
      <c r="L76" s="1" t="s">
        <v>117</v>
      </c>
      <c r="M76" s="1" t="s">
        <v>44</v>
      </c>
      <c r="N76" s="1" t="s">
        <v>47</v>
      </c>
    </row>
    <row r="77" spans="12:14" x14ac:dyDescent="0.35">
      <c r="L77" s="1" t="s">
        <v>118</v>
      </c>
      <c r="M77" s="1" t="s">
        <v>36</v>
      </c>
      <c r="N77" s="1" t="s">
        <v>45</v>
      </c>
    </row>
    <row r="78" spans="12:14" x14ac:dyDescent="0.35">
      <c r="L78" s="1" t="s">
        <v>119</v>
      </c>
      <c r="M78" s="1" t="s">
        <v>39</v>
      </c>
      <c r="N78" s="1" t="s">
        <v>46</v>
      </c>
    </row>
    <row r="79" spans="12:14" x14ac:dyDescent="0.35">
      <c r="L79" s="1" t="s">
        <v>120</v>
      </c>
      <c r="M79" s="1" t="s">
        <v>44</v>
      </c>
      <c r="N79" s="1" t="s">
        <v>47</v>
      </c>
    </row>
    <row r="80" spans="12:14" x14ac:dyDescent="0.35">
      <c r="L80" s="1" t="s">
        <v>121</v>
      </c>
      <c r="M80" s="1" t="s">
        <v>36</v>
      </c>
      <c r="N80" s="1" t="s">
        <v>45</v>
      </c>
    </row>
    <row r="81" spans="12:14" x14ac:dyDescent="0.35">
      <c r="L81" s="1" t="s">
        <v>122</v>
      </c>
      <c r="M81" s="1" t="s">
        <v>39</v>
      </c>
      <c r="N81" s="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BC5B6-C202-46E7-80D7-DAB2FE334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Team</vt:lpstr>
      <vt:lpstr>Campaign</vt:lpstr>
      <vt:lpstr>Partner</vt:lpstr>
      <vt:lpstr>Campaign &amp; Partner</vt:lpstr>
      <vt:lpstr>Partner &amp; Placement</vt:lpstr>
      <vt:lpstr>Device</vt:lpstr>
      <vt:lpstr>Campaign &amp; Device</vt:lpstr>
      <vt:lpstr>Partner &amp; Device</vt:lpstr>
      <vt:lpstr>Campaign, Partner, Device</vt:lpstr>
      <vt:lpstr>Benchmarks</vt:lpstr>
      <vt:lpstr>Mapping</vt:lpstr>
      <vt:lpstr>Benchmark_Headers</vt:lpstr>
      <vt:lpstr>DeviceDropdown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Bailey</dc:creator>
  <cp:lastModifiedBy>Vishal Kumar</cp:lastModifiedBy>
  <cp:lastPrinted>2015-10-02T21:14:56Z</cp:lastPrinted>
  <dcterms:created xsi:type="dcterms:W3CDTF">2015-01-07T19:42:54Z</dcterms:created>
  <dcterms:modified xsi:type="dcterms:W3CDTF">2017-12-10T16:41:11Z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7bcb33c3-8a9e-4a01-9764-fffc2d24f5d0</vt:lpwstr>
  </property>
</Properties>
</file>