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4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5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6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drawings/drawing7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drawings/drawing8.xml" ContentType="application/vnd.openxmlformats-officedocument.drawing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drawings/drawing9.xml" ContentType="application/vnd.openxmlformats-officedocument.drawing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drawings/drawing10.xml" ContentType="application/vnd.openxmlformats-officedocument.drawing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Vishal Kumar\automation_scorecard\excel_files\"/>
    </mc:Choice>
  </mc:AlternateContent>
  <bookViews>
    <workbookView xWindow="0" yWindow="0" windowWidth="28800" windowHeight="13020" tabRatio="908" activeTab="2" xr2:uid="{00000000-000D-0000-FFFF-FFFF00000000}"/>
  </bookViews>
  <sheets>
    <sheet name="Team" sheetId="29" r:id="rId1"/>
    <sheet name="Campaign" sheetId="6" r:id="rId2"/>
    <sheet name="Partner" sheetId="17" r:id="rId3"/>
    <sheet name="Campaign &amp; Partner" sheetId="23" r:id="rId4"/>
    <sheet name="Partner &amp; Placement" sheetId="24" state="hidden" r:id="rId5"/>
    <sheet name="Device" sheetId="27" state="hidden" r:id="rId6"/>
    <sheet name="Campaign &amp; Device" sheetId="25" state="hidden" r:id="rId7"/>
    <sheet name="Partner &amp; Device" sheetId="26" state="hidden" r:id="rId8"/>
    <sheet name="Campaign, Partner, Device" sheetId="28" state="hidden" r:id="rId9"/>
    <sheet name="Benchmarks" sheetId="12" r:id="rId10"/>
    <sheet name="Mapping" sheetId="16" state="hidden" r:id="rId11"/>
  </sheets>
  <definedNames>
    <definedName name="Bar_Dropdown_List" localSheetId="6">OFFSET(#REF!,1,0,COUNTIF(#REF!,"&lt;&gt;0"),1)</definedName>
    <definedName name="Bar_Dropdown_List" localSheetId="3">OFFSET(#REF!,1,0,COUNTIF(#REF!,"&lt;&gt;0"),1)</definedName>
    <definedName name="Bar_Dropdown_List" localSheetId="8">OFFSET(#REF!,1,0,COUNTIF(#REF!,"&lt;&gt;0"),1)</definedName>
    <definedName name="Bar_Dropdown_List" localSheetId="5">OFFSET(#REF!,1,0,COUNTIF(#REF!,"&lt;&gt;0"),1)</definedName>
    <definedName name="Bar_Dropdown_List" localSheetId="7">OFFSET(#REF!,1,0,COUNTIF(#REF!,"&lt;&gt;0"),1)</definedName>
    <definedName name="Bar_Dropdown_List" localSheetId="4">OFFSET(#REF!,1,0,COUNTIF(#REF!,"&lt;&gt;0"),1)</definedName>
    <definedName name="Bar_Dropdown_List" localSheetId="0">OFFSET(#REF!,1,0,COUNTIF(#REF!,"&lt;&gt;0"),1)</definedName>
    <definedName name="Bar_Dropdown_List">OFFSET(#REF!,1,0,COUNTIF(#REF!,"&lt;&gt;0"),1)</definedName>
    <definedName name="Benchmark_Headers">Benchmark_Legend[#Headers]</definedName>
    <definedName name="BMRK_List">OFFSET(Benchmarks!$C$4,0,0,1,COUNTA(Benchmarks!$C$4:$ZN$4))</definedName>
    <definedName name="DeviceDropdown">Mapping!$P$4:$P$13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RAQtion_Graphs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28" l="1" a="1"/>
  <c r="K9" i="28" s="1"/>
  <c r="U9" i="25" a="1"/>
  <c r="U9" i="25" s="1"/>
  <c r="Z9" i="23" a="1"/>
  <c r="Z9" i="23" s="1"/>
  <c r="X9" i="23" a="1"/>
  <c r="X9" i="23" s="1"/>
  <c r="AA9" i="6" a="1"/>
  <c r="AA9" i="6" s="1"/>
  <c r="Z9" i="6" a="1"/>
  <c r="Z9" i="6" s="1"/>
  <c r="X9" i="6" a="1"/>
  <c r="X9" i="6" s="1"/>
  <c r="V9" i="29" a="1"/>
  <c r="V9" i="29" s="1"/>
  <c r="U9" i="29" a="1"/>
  <c r="U9" i="29" s="1"/>
  <c r="W9" i="6" a="1"/>
  <c r="W9" i="6" s="1"/>
  <c r="Y9" i="28" l="1" a="1"/>
  <c r="Y9" i="28" s="1"/>
  <c r="X9" i="28" a="1"/>
  <c r="X9" i="28" s="1"/>
  <c r="W9" i="28" a="1"/>
  <c r="W9" i="28" s="1"/>
  <c r="V9" i="28" a="1"/>
  <c r="V9" i="28" s="1"/>
  <c r="U9" i="28" a="1"/>
  <c r="U9" i="28" s="1"/>
  <c r="Y9" i="26" a="1"/>
  <c r="Y9" i="26" s="1"/>
  <c r="X9" i="26" a="1"/>
  <c r="X9" i="26" s="1"/>
  <c r="W9" i="26" a="1"/>
  <c r="W9" i="26" s="1"/>
  <c r="V9" i="26" a="1"/>
  <c r="V9" i="26" s="1"/>
  <c r="U9" i="26" a="1"/>
  <c r="U9" i="26" s="1"/>
  <c r="Y9" i="25" a="1"/>
  <c r="Y9" i="25" s="1"/>
  <c r="X9" i="25" a="1"/>
  <c r="X9" i="25" s="1"/>
  <c r="W9" i="25" a="1"/>
  <c r="W9" i="25" s="1"/>
  <c r="V9" i="25" a="1"/>
  <c r="V9" i="25" s="1"/>
  <c r="Y9" i="27" a="1"/>
  <c r="Y9" i="27" s="1"/>
  <c r="X9" i="27" a="1"/>
  <c r="X9" i="27" s="1"/>
  <c r="W9" i="27" a="1"/>
  <c r="W9" i="27" s="1"/>
  <c r="V9" i="27" a="1"/>
  <c r="V9" i="27" s="1"/>
  <c r="U9" i="27" a="1"/>
  <c r="U9" i="27" s="1"/>
  <c r="Y9" i="24" a="1"/>
  <c r="Y9" i="24" s="1"/>
  <c r="X9" i="24" a="1"/>
  <c r="X9" i="24" s="1"/>
  <c r="W9" i="24" a="1"/>
  <c r="W9" i="24" s="1"/>
  <c r="V9" i="24" a="1"/>
  <c r="V9" i="24" s="1"/>
  <c r="U9" i="24" a="1"/>
  <c r="U9" i="24" s="1"/>
  <c r="Y9" i="23" a="1"/>
  <c r="Y9" i="23" s="1"/>
  <c r="W9" i="23" a="1"/>
  <c r="W9" i="23" s="1"/>
  <c r="V9" i="23" a="1"/>
  <c r="V9" i="23" s="1"/>
  <c r="U9" i="23" a="1"/>
  <c r="U9" i="23" s="1"/>
  <c r="Y9" i="17" a="1"/>
  <c r="Y9" i="17" s="1"/>
  <c r="X9" i="17" a="1"/>
  <c r="X9" i="17" s="1"/>
  <c r="W9" i="17" a="1"/>
  <c r="W9" i="17" s="1"/>
  <c r="V9" i="17" a="1"/>
  <c r="V9" i="17" s="1"/>
  <c r="U9" i="17" a="1"/>
  <c r="U9" i="17" s="1"/>
  <c r="Y9" i="6" a="1"/>
  <c r="Y9" i="6" s="1"/>
  <c r="V9" i="6" a="1"/>
  <c r="V9" i="6" s="1"/>
  <c r="U9" i="6" a="1"/>
  <c r="U9" i="6" s="1"/>
  <c r="Y9" i="29" a="1"/>
  <c r="Y9" i="29" s="1"/>
  <c r="X9" i="29" a="1"/>
  <c r="X9" i="29" s="1"/>
  <c r="W9" i="29" a="1"/>
  <c r="W9" i="29" s="1"/>
  <c r="E8" i="26" l="1"/>
  <c r="E8" i="17"/>
  <c r="D8" i="6"/>
  <c r="B16" i="28" l="1"/>
  <c r="B16" i="26"/>
  <c r="B16" i="25"/>
  <c r="L8" i="28" l="1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L8" i="26"/>
  <c r="M8" i="26"/>
  <c r="N8" i="26"/>
  <c r="O8" i="26"/>
  <c r="P8" i="26"/>
  <c r="Q8" i="26"/>
  <c r="R8" i="26"/>
  <c r="S8" i="26"/>
  <c r="T8" i="26"/>
  <c r="U8" i="26"/>
  <c r="V8" i="26"/>
  <c r="W8" i="26"/>
  <c r="X8" i="26"/>
  <c r="Y8" i="26"/>
  <c r="Z8" i="26"/>
  <c r="AA8" i="26"/>
  <c r="L8" i="25"/>
  <c r="M8" i="25"/>
  <c r="N8" i="25"/>
  <c r="O8" i="25"/>
  <c r="P8" i="25"/>
  <c r="Q8" i="25"/>
  <c r="R8" i="25"/>
  <c r="S8" i="25"/>
  <c r="T8" i="25"/>
  <c r="U8" i="25"/>
  <c r="V8" i="25"/>
  <c r="W8" i="25"/>
  <c r="X8" i="25"/>
  <c r="Y8" i="25"/>
  <c r="Z8" i="25"/>
  <c r="AA8" i="25"/>
  <c r="L8" i="27"/>
  <c r="M8" i="27"/>
  <c r="N8" i="27"/>
  <c r="O8" i="27"/>
  <c r="P8" i="27"/>
  <c r="Q8" i="27"/>
  <c r="R8" i="27"/>
  <c r="S8" i="27"/>
  <c r="T8" i="27"/>
  <c r="U8" i="27"/>
  <c r="V8" i="27"/>
  <c r="W8" i="27"/>
  <c r="X8" i="27"/>
  <c r="Y8" i="27"/>
  <c r="Z8" i="27"/>
  <c r="AA8" i="27"/>
  <c r="L8" i="24"/>
  <c r="M8" i="24"/>
  <c r="N8" i="24"/>
  <c r="O8" i="24"/>
  <c r="P8" i="24"/>
  <c r="Q8" i="24"/>
  <c r="R8" i="24"/>
  <c r="S8" i="24"/>
  <c r="T8" i="24"/>
  <c r="U8" i="24"/>
  <c r="V8" i="24"/>
  <c r="W8" i="24"/>
  <c r="X8" i="24"/>
  <c r="Y8" i="24"/>
  <c r="Z8" i="24"/>
  <c r="AA8" i="24"/>
  <c r="L8" i="23"/>
  <c r="M8" i="23"/>
  <c r="N8" i="23"/>
  <c r="O8" i="23"/>
  <c r="P8" i="23"/>
  <c r="Q8" i="23"/>
  <c r="R8" i="23"/>
  <c r="S8" i="23"/>
  <c r="T8" i="23"/>
  <c r="U8" i="23"/>
  <c r="V8" i="23"/>
  <c r="W8" i="23"/>
  <c r="X8" i="23"/>
  <c r="Y8" i="23"/>
  <c r="Z8" i="23"/>
  <c r="AA8" i="23"/>
  <c r="L8" i="17"/>
  <c r="M8" i="17"/>
  <c r="N8" i="17"/>
  <c r="O8" i="17"/>
  <c r="P8" i="17"/>
  <c r="Q8" i="17"/>
  <c r="R8" i="17"/>
  <c r="S8" i="17"/>
  <c r="T8" i="17"/>
  <c r="U8" i="17"/>
  <c r="V8" i="17"/>
  <c r="W8" i="17"/>
  <c r="X8" i="17"/>
  <c r="Y8" i="17"/>
  <c r="Z8" i="17"/>
  <c r="AA8" i="17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K8" i="17"/>
  <c r="K8" i="28"/>
  <c r="K8" i="26"/>
  <c r="K8" i="25"/>
  <c r="K8" i="27"/>
  <c r="K8" i="24"/>
  <c r="K8" i="23"/>
  <c r="K8" i="6"/>
  <c r="K8" i="29"/>
  <c r="B16" i="24"/>
  <c r="N11" i="24" s="1" a="1"/>
  <c r="N11" i="24" s="1"/>
  <c r="Q11" i="6" a="1"/>
  <c r="Q11" i="6" s="1"/>
  <c r="AA10" i="6" a="1"/>
  <c r="AA10" i="6" s="1"/>
  <c r="Z10" i="6" a="1"/>
  <c r="Z10" i="6" s="1"/>
  <c r="Y10" i="6" a="1"/>
  <c r="Y10" i="6" s="1"/>
  <c r="X10" i="6" a="1"/>
  <c r="X10" i="6" s="1"/>
  <c r="W10" i="6" a="1"/>
  <c r="W10" i="6" s="1"/>
  <c r="V10" i="6" a="1"/>
  <c r="V10" i="6" s="1"/>
  <c r="U10" i="6" a="1"/>
  <c r="U10" i="6" s="1"/>
  <c r="T10" i="6" a="1"/>
  <c r="T10" i="6" s="1"/>
  <c r="S10" i="6" a="1"/>
  <c r="S10" i="6" s="1"/>
  <c r="R10" i="6" a="1"/>
  <c r="R10" i="6" s="1"/>
  <c r="Q10" i="6" a="1"/>
  <c r="Q10" i="6" s="1"/>
  <c r="P10" i="6" a="1"/>
  <c r="P10" i="6" s="1"/>
  <c r="O10" i="6" a="1"/>
  <c r="O10" i="6" s="1"/>
  <c r="N10" i="6" a="1"/>
  <c r="N10" i="6" s="1"/>
  <c r="M10" i="6" a="1"/>
  <c r="M10" i="6" s="1"/>
  <c r="L10" i="6" a="1"/>
  <c r="L10" i="6" s="1"/>
  <c r="K10" i="6" a="1"/>
  <c r="K10" i="6" s="1"/>
  <c r="Y11" i="17" a="1"/>
  <c r="Y11" i="17" s="1"/>
  <c r="U11" i="17" a="1"/>
  <c r="U11" i="17" s="1"/>
  <c r="M11" i="17" a="1"/>
  <c r="M11" i="17" s="1"/>
  <c r="AA10" i="17" a="1"/>
  <c r="AA10" i="17" s="1"/>
  <c r="Z10" i="17" a="1"/>
  <c r="Z10" i="17" s="1"/>
  <c r="Y10" i="17" a="1"/>
  <c r="Y10" i="17" s="1"/>
  <c r="X10" i="17" a="1"/>
  <c r="X10" i="17" s="1"/>
  <c r="W10" i="17" a="1"/>
  <c r="W10" i="17" s="1"/>
  <c r="V10" i="17" a="1"/>
  <c r="V10" i="17" s="1"/>
  <c r="U10" i="17" a="1"/>
  <c r="U10" i="17" s="1"/>
  <c r="T10" i="17" a="1"/>
  <c r="T10" i="17" s="1"/>
  <c r="S10" i="17" a="1"/>
  <c r="S10" i="17" s="1"/>
  <c r="R10" i="17" a="1"/>
  <c r="R10" i="17" s="1"/>
  <c r="Q10" i="17" a="1"/>
  <c r="Q10" i="17" s="1"/>
  <c r="P10" i="17" a="1"/>
  <c r="P10" i="17" s="1"/>
  <c r="O10" i="17" a="1"/>
  <c r="O10" i="17" s="1"/>
  <c r="N10" i="17" a="1"/>
  <c r="N10" i="17" s="1"/>
  <c r="M10" i="17" a="1"/>
  <c r="M10" i="17" s="1"/>
  <c r="L10" i="17" a="1"/>
  <c r="L10" i="17" s="1"/>
  <c r="K10" i="17" a="1"/>
  <c r="K10" i="17" s="1"/>
  <c r="AA10" i="23" a="1"/>
  <c r="AA10" i="23" s="1"/>
  <c r="Z10" i="23" a="1"/>
  <c r="Z10" i="23" s="1"/>
  <c r="Y10" i="23" a="1"/>
  <c r="Y10" i="23" s="1"/>
  <c r="X10" i="23" a="1"/>
  <c r="X10" i="23" s="1"/>
  <c r="W10" i="23" a="1"/>
  <c r="W10" i="23" s="1"/>
  <c r="V10" i="23" a="1"/>
  <c r="V10" i="23" s="1"/>
  <c r="U10" i="23" a="1"/>
  <c r="U10" i="23" s="1"/>
  <c r="T10" i="23" a="1"/>
  <c r="T10" i="23" s="1"/>
  <c r="S10" i="23" a="1"/>
  <c r="S10" i="23" s="1"/>
  <c r="R10" i="23" a="1"/>
  <c r="R10" i="23" s="1"/>
  <c r="Q10" i="23" a="1"/>
  <c r="Q10" i="23" s="1"/>
  <c r="P10" i="23" a="1"/>
  <c r="P10" i="23" s="1"/>
  <c r="O10" i="23" a="1"/>
  <c r="O10" i="23" s="1"/>
  <c r="N10" i="23" a="1"/>
  <c r="N10" i="23" s="1"/>
  <c r="M10" i="23" a="1"/>
  <c r="M10" i="23" s="1"/>
  <c r="L10" i="23" a="1"/>
  <c r="L10" i="23" s="1"/>
  <c r="K10" i="23" a="1"/>
  <c r="K10" i="23" s="1"/>
  <c r="AA10" i="24" a="1"/>
  <c r="AA10" i="24" s="1"/>
  <c r="Z10" i="24" a="1"/>
  <c r="Z10" i="24" s="1"/>
  <c r="Y10" i="24" a="1"/>
  <c r="Y10" i="24" s="1"/>
  <c r="X10" i="24" a="1"/>
  <c r="X10" i="24" s="1"/>
  <c r="W10" i="24" a="1"/>
  <c r="W10" i="24" s="1"/>
  <c r="V10" i="24" a="1"/>
  <c r="V10" i="24" s="1"/>
  <c r="U10" i="24" a="1"/>
  <c r="U10" i="24" s="1"/>
  <c r="T10" i="24" a="1"/>
  <c r="T10" i="24" s="1"/>
  <c r="S10" i="24" a="1"/>
  <c r="S10" i="24" s="1"/>
  <c r="R10" i="24" a="1"/>
  <c r="R10" i="24" s="1"/>
  <c r="Q10" i="24" a="1"/>
  <c r="Q10" i="24" s="1"/>
  <c r="P10" i="24" a="1"/>
  <c r="P10" i="24" s="1"/>
  <c r="O10" i="24" a="1"/>
  <c r="O10" i="24" s="1"/>
  <c r="N10" i="24" a="1"/>
  <c r="N10" i="24" s="1"/>
  <c r="M10" i="24" a="1"/>
  <c r="M10" i="24" s="1"/>
  <c r="L10" i="24" a="1"/>
  <c r="L10" i="24" s="1"/>
  <c r="K10" i="24" a="1"/>
  <c r="K10" i="24" s="1"/>
  <c r="B16" i="27"/>
  <c r="AA10" i="27" a="1"/>
  <c r="AA10" i="27" s="1"/>
  <c r="Z10" i="27" a="1"/>
  <c r="Z10" i="27" s="1"/>
  <c r="Y10" i="27" a="1"/>
  <c r="Y10" i="27" s="1"/>
  <c r="X10" i="27" a="1"/>
  <c r="X10" i="27" s="1"/>
  <c r="W10" i="27" a="1"/>
  <c r="W10" i="27" s="1"/>
  <c r="V10" i="27" a="1"/>
  <c r="V10" i="27" s="1"/>
  <c r="U10" i="27" a="1"/>
  <c r="U10" i="27" s="1"/>
  <c r="T10" i="27" a="1"/>
  <c r="T10" i="27" s="1"/>
  <c r="S10" i="27" a="1"/>
  <c r="S10" i="27" s="1"/>
  <c r="R10" i="27" a="1"/>
  <c r="R10" i="27" s="1"/>
  <c r="Q10" i="27" a="1"/>
  <c r="Q10" i="27" s="1"/>
  <c r="P10" i="27" a="1"/>
  <c r="P10" i="27" s="1"/>
  <c r="O10" i="27" a="1"/>
  <c r="O10" i="27" s="1"/>
  <c r="N10" i="27" a="1"/>
  <c r="N10" i="27" s="1"/>
  <c r="M10" i="27" a="1"/>
  <c r="M10" i="27" s="1"/>
  <c r="L10" i="27" a="1"/>
  <c r="L10" i="27" s="1"/>
  <c r="K10" i="27" a="1"/>
  <c r="K10" i="27" s="1"/>
  <c r="D8" i="25"/>
  <c r="Z11" i="25" a="1"/>
  <c r="Z11" i="25" s="1"/>
  <c r="Y11" i="25" a="1"/>
  <c r="Y11" i="25" s="1"/>
  <c r="V11" i="25" a="1"/>
  <c r="V11" i="25" s="1"/>
  <c r="U11" i="25" a="1"/>
  <c r="U11" i="25" s="1"/>
  <c r="R11" i="25" a="1"/>
  <c r="R11" i="25" s="1"/>
  <c r="Q11" i="25" a="1"/>
  <c r="Q11" i="25" s="1"/>
  <c r="N11" i="25" a="1"/>
  <c r="N11" i="25" s="1"/>
  <c r="M11" i="25" a="1"/>
  <c r="M11" i="25" s="1"/>
  <c r="AA10" i="25" a="1"/>
  <c r="AA10" i="25" s="1"/>
  <c r="Z10" i="25" a="1"/>
  <c r="Z10" i="25" s="1"/>
  <c r="Y10" i="25" a="1"/>
  <c r="Y10" i="25" s="1"/>
  <c r="X10" i="25" a="1"/>
  <c r="X10" i="25" s="1"/>
  <c r="W10" i="25" a="1"/>
  <c r="W10" i="25" s="1"/>
  <c r="V10" i="25" a="1"/>
  <c r="V10" i="25" s="1"/>
  <c r="U10" i="25" a="1"/>
  <c r="U10" i="25" s="1"/>
  <c r="T10" i="25" a="1"/>
  <c r="T10" i="25" s="1"/>
  <c r="S10" i="25" a="1"/>
  <c r="S10" i="25" s="1"/>
  <c r="R10" i="25" a="1"/>
  <c r="R10" i="25" s="1"/>
  <c r="Q10" i="25" a="1"/>
  <c r="Q10" i="25" s="1"/>
  <c r="P10" i="25" a="1"/>
  <c r="P10" i="25" s="1"/>
  <c r="O10" i="25" a="1"/>
  <c r="O10" i="25" s="1"/>
  <c r="N10" i="25" a="1"/>
  <c r="N10" i="25" s="1"/>
  <c r="M10" i="25" a="1"/>
  <c r="M10" i="25" s="1"/>
  <c r="L10" i="25" a="1"/>
  <c r="L10" i="25" s="1"/>
  <c r="K10" i="25" a="1"/>
  <c r="K10" i="25" s="1"/>
  <c r="AA11" i="26" a="1"/>
  <c r="AA11" i="26" s="1"/>
  <c r="Z11" i="26" a="1"/>
  <c r="Z11" i="26" s="1"/>
  <c r="Y11" i="26" a="1"/>
  <c r="Y11" i="26" s="1"/>
  <c r="X11" i="26" a="1"/>
  <c r="X11" i="26" s="1"/>
  <c r="W11" i="26" a="1"/>
  <c r="W11" i="26" s="1"/>
  <c r="V11" i="26" a="1"/>
  <c r="V11" i="26" s="1"/>
  <c r="U11" i="26" a="1"/>
  <c r="U11" i="26" s="1"/>
  <c r="T11" i="26" a="1"/>
  <c r="T11" i="26" s="1"/>
  <c r="S11" i="26" a="1"/>
  <c r="S11" i="26" s="1"/>
  <c r="R11" i="26" a="1"/>
  <c r="R11" i="26" s="1"/>
  <c r="Q11" i="26" a="1"/>
  <c r="Q11" i="26" s="1"/>
  <c r="P11" i="26" a="1"/>
  <c r="P11" i="26" s="1"/>
  <c r="O11" i="26" a="1"/>
  <c r="O11" i="26" s="1"/>
  <c r="N11" i="26" a="1"/>
  <c r="N11" i="26" s="1"/>
  <c r="M11" i="26" a="1"/>
  <c r="M11" i="26" s="1"/>
  <c r="L11" i="26" a="1"/>
  <c r="L11" i="26" s="1"/>
  <c r="K11" i="26" a="1"/>
  <c r="K11" i="26" s="1"/>
  <c r="AA10" i="26" a="1"/>
  <c r="AA10" i="26" s="1"/>
  <c r="Z10" i="26" a="1"/>
  <c r="Z10" i="26" s="1"/>
  <c r="Y10" i="26" a="1"/>
  <c r="Y10" i="26" s="1"/>
  <c r="X10" i="26" a="1"/>
  <c r="X10" i="26" s="1"/>
  <c r="W10" i="26" a="1"/>
  <c r="W10" i="26" s="1"/>
  <c r="V10" i="26" a="1"/>
  <c r="V10" i="26" s="1"/>
  <c r="U10" i="26" a="1"/>
  <c r="U10" i="26" s="1"/>
  <c r="T10" i="26" a="1"/>
  <c r="T10" i="26" s="1"/>
  <c r="S10" i="26" a="1"/>
  <c r="S10" i="26" s="1"/>
  <c r="R10" i="26" a="1"/>
  <c r="R10" i="26" s="1"/>
  <c r="Q10" i="26" a="1"/>
  <c r="Q10" i="26" s="1"/>
  <c r="P10" i="26" a="1"/>
  <c r="P10" i="26" s="1"/>
  <c r="O10" i="26" a="1"/>
  <c r="O10" i="26" s="1"/>
  <c r="N10" i="26" a="1"/>
  <c r="N10" i="26" s="1"/>
  <c r="M10" i="26" a="1"/>
  <c r="M10" i="26" s="1"/>
  <c r="L10" i="26" a="1"/>
  <c r="L10" i="26" s="1"/>
  <c r="K10" i="26" a="1"/>
  <c r="K10" i="26" s="1"/>
  <c r="AA11" i="28" a="1"/>
  <c r="AA11" i="28" s="1"/>
  <c r="Z11" i="28" a="1"/>
  <c r="Z11" i="28" s="1"/>
  <c r="Y11" i="28" a="1"/>
  <c r="Y11" i="28" s="1"/>
  <c r="X11" i="28" a="1"/>
  <c r="X11" i="28" s="1"/>
  <c r="W11" i="28" a="1"/>
  <c r="W11" i="28" s="1"/>
  <c r="V11" i="28" a="1"/>
  <c r="V11" i="28" s="1"/>
  <c r="U11" i="28" a="1"/>
  <c r="U11" i="28" s="1"/>
  <c r="T11" i="28" a="1"/>
  <c r="T11" i="28" s="1"/>
  <c r="S11" i="28" a="1"/>
  <c r="S11" i="28" s="1"/>
  <c r="R11" i="28" a="1"/>
  <c r="R11" i="28" s="1"/>
  <c r="Q11" i="28" a="1"/>
  <c r="Q11" i="28" s="1"/>
  <c r="P11" i="28" a="1"/>
  <c r="P11" i="28" s="1"/>
  <c r="O11" i="28" a="1"/>
  <c r="O11" i="28" s="1"/>
  <c r="N11" i="28" a="1"/>
  <c r="N11" i="28" s="1"/>
  <c r="M11" i="28" a="1"/>
  <c r="M11" i="28" s="1"/>
  <c r="L11" i="28" a="1"/>
  <c r="L11" i="28" s="1"/>
  <c r="K11" i="28" a="1"/>
  <c r="K11" i="28" s="1"/>
  <c r="AA10" i="28" a="1"/>
  <c r="AA10" i="28" s="1"/>
  <c r="Z10" i="28" a="1"/>
  <c r="Z10" i="28" s="1"/>
  <c r="Y10" i="28" a="1"/>
  <c r="Y10" i="28" s="1"/>
  <c r="X10" i="28" a="1"/>
  <c r="X10" i="28" s="1"/>
  <c r="W10" i="28" a="1"/>
  <c r="W10" i="28" s="1"/>
  <c r="V10" i="28" a="1"/>
  <c r="V10" i="28" s="1"/>
  <c r="U10" i="28" a="1"/>
  <c r="U10" i="28" s="1"/>
  <c r="T10" i="28" a="1"/>
  <c r="T10" i="28" s="1"/>
  <c r="S10" i="28" a="1"/>
  <c r="S10" i="28" s="1"/>
  <c r="R10" i="28" a="1"/>
  <c r="R10" i="28" s="1"/>
  <c r="Q10" i="28" a="1"/>
  <c r="Q10" i="28" s="1"/>
  <c r="P10" i="28" a="1"/>
  <c r="P10" i="28" s="1"/>
  <c r="O10" i="28" a="1"/>
  <c r="O10" i="28" s="1"/>
  <c r="N10" i="28" a="1"/>
  <c r="N10" i="28" s="1"/>
  <c r="M10" i="28" a="1"/>
  <c r="M10" i="28" s="1"/>
  <c r="L10" i="28" a="1"/>
  <c r="L10" i="28" s="1"/>
  <c r="K10" i="28" a="1"/>
  <c r="K10" i="28" s="1"/>
  <c r="AA9" i="28" a="1"/>
  <c r="AA9" i="28" s="1"/>
  <c r="Z9" i="28" a="1"/>
  <c r="Z9" i="28" s="1"/>
  <c r="T9" i="28" a="1"/>
  <c r="T9" i="28" s="1"/>
  <c r="S9" i="28" a="1"/>
  <c r="S9" i="28" s="1"/>
  <c r="R9" i="28" a="1"/>
  <c r="R9" i="28" s="1"/>
  <c r="Q9" i="28" a="1"/>
  <c r="Q9" i="28" s="1"/>
  <c r="P9" i="28" a="1"/>
  <c r="P9" i="28" s="1"/>
  <c r="O9" i="28" a="1"/>
  <c r="O9" i="28" s="1"/>
  <c r="N9" i="28" a="1"/>
  <c r="N9" i="28" s="1"/>
  <c r="M9" i="28" a="1"/>
  <c r="M9" i="28" s="1"/>
  <c r="L9" i="28" a="1"/>
  <c r="L9" i="28" s="1"/>
  <c r="D8" i="28"/>
  <c r="AA9" i="26" a="1"/>
  <c r="AA9" i="26" s="1"/>
  <c r="Z9" i="26" a="1"/>
  <c r="Z9" i="26" s="1"/>
  <c r="T9" i="26" a="1"/>
  <c r="T9" i="26" s="1"/>
  <c r="S9" i="26" a="1"/>
  <c r="S9" i="26" s="1"/>
  <c r="R9" i="26" a="1"/>
  <c r="R9" i="26" s="1"/>
  <c r="Q9" i="26" a="1"/>
  <c r="Q9" i="26" s="1"/>
  <c r="P9" i="26" a="1"/>
  <c r="P9" i="26" s="1"/>
  <c r="O9" i="26" a="1"/>
  <c r="O9" i="26" s="1"/>
  <c r="N9" i="26" a="1"/>
  <c r="N9" i="26" s="1"/>
  <c r="M9" i="26" a="1"/>
  <c r="M9" i="26" s="1"/>
  <c r="L9" i="26" a="1"/>
  <c r="L9" i="26" s="1"/>
  <c r="K9" i="26" a="1"/>
  <c r="K9" i="26" s="1"/>
  <c r="A9" i="26"/>
  <c r="AA9" i="25" a="1"/>
  <c r="AA9" i="25" s="1"/>
  <c r="Z9" i="25" a="1"/>
  <c r="Z9" i="25" s="1"/>
  <c r="T9" i="25" a="1"/>
  <c r="T9" i="25" s="1"/>
  <c r="S9" i="25" a="1"/>
  <c r="S9" i="25" s="1"/>
  <c r="R9" i="25" a="1"/>
  <c r="R9" i="25" s="1"/>
  <c r="Q9" i="25" a="1"/>
  <c r="Q9" i="25" s="1"/>
  <c r="P9" i="25" a="1"/>
  <c r="P9" i="25" s="1"/>
  <c r="O9" i="25" a="1"/>
  <c r="O9" i="25" s="1"/>
  <c r="N9" i="25" a="1"/>
  <c r="N9" i="25" s="1"/>
  <c r="M9" i="25" a="1"/>
  <c r="M9" i="25" s="1"/>
  <c r="L9" i="25" a="1"/>
  <c r="L9" i="25" s="1"/>
  <c r="K9" i="25" a="1"/>
  <c r="K9" i="25" s="1"/>
  <c r="AA9" i="27" a="1"/>
  <c r="AA9" i="27" s="1"/>
  <c r="Z9" i="27" a="1"/>
  <c r="Z9" i="27" s="1"/>
  <c r="T9" i="27" a="1"/>
  <c r="T9" i="27" s="1"/>
  <c r="S9" i="27" a="1"/>
  <c r="S9" i="27" s="1"/>
  <c r="R9" i="27" a="1"/>
  <c r="R9" i="27" s="1"/>
  <c r="Q9" i="27" a="1"/>
  <c r="Q9" i="27" s="1"/>
  <c r="P9" i="27" a="1"/>
  <c r="P9" i="27" s="1"/>
  <c r="O9" i="27" a="1"/>
  <c r="O9" i="27" s="1"/>
  <c r="N9" i="27" a="1"/>
  <c r="N9" i="27" s="1"/>
  <c r="M9" i="27" a="1"/>
  <c r="M9" i="27" s="1"/>
  <c r="L9" i="27" a="1"/>
  <c r="L9" i="27" s="1"/>
  <c r="K9" i="27" a="1"/>
  <c r="K9" i="27" s="1"/>
  <c r="A9" i="27"/>
  <c r="C8" i="27"/>
  <c r="AA9" i="24" a="1"/>
  <c r="AA9" i="24" s="1"/>
  <c r="Z9" i="24" a="1"/>
  <c r="Z9" i="24" s="1"/>
  <c r="T9" i="24" a="1"/>
  <c r="T9" i="24" s="1"/>
  <c r="S9" i="24" a="1"/>
  <c r="S9" i="24" s="1"/>
  <c r="R9" i="24" a="1"/>
  <c r="R9" i="24" s="1"/>
  <c r="Q9" i="24" a="1"/>
  <c r="Q9" i="24" s="1"/>
  <c r="P9" i="24" a="1"/>
  <c r="P9" i="24" s="1"/>
  <c r="O9" i="24" a="1"/>
  <c r="O9" i="24" s="1"/>
  <c r="N9" i="24" a="1"/>
  <c r="N9" i="24" s="1"/>
  <c r="M9" i="24" a="1"/>
  <c r="M9" i="24" s="1"/>
  <c r="L9" i="24" a="1"/>
  <c r="L9" i="24" s="1"/>
  <c r="K9" i="24" a="1"/>
  <c r="K9" i="24" s="1"/>
  <c r="E8" i="24"/>
  <c r="AA9" i="23" a="1"/>
  <c r="AA9" i="23" s="1"/>
  <c r="T9" i="23" a="1"/>
  <c r="T9" i="23" s="1"/>
  <c r="S9" i="23" a="1"/>
  <c r="S9" i="23" s="1"/>
  <c r="R9" i="23" a="1"/>
  <c r="R9" i="23" s="1"/>
  <c r="Q9" i="23" a="1"/>
  <c r="Q9" i="23" s="1"/>
  <c r="P9" i="23" a="1"/>
  <c r="P9" i="23" s="1"/>
  <c r="O9" i="23" a="1"/>
  <c r="O9" i="23" s="1"/>
  <c r="N9" i="23" a="1"/>
  <c r="N9" i="23" s="1"/>
  <c r="M9" i="23" a="1"/>
  <c r="M9" i="23" s="1"/>
  <c r="L9" i="23" a="1"/>
  <c r="L9" i="23" s="1"/>
  <c r="K9" i="23" a="1"/>
  <c r="K9" i="23" s="1"/>
  <c r="D8" i="23"/>
  <c r="AA9" i="17" a="1"/>
  <c r="AA9" i="17" s="1"/>
  <c r="Z9" i="17" a="1"/>
  <c r="Z9" i="17" s="1"/>
  <c r="T9" i="17" a="1"/>
  <c r="T9" i="17" s="1"/>
  <c r="S9" i="17" a="1"/>
  <c r="S9" i="17" s="1"/>
  <c r="R9" i="17" a="1"/>
  <c r="R9" i="17" s="1"/>
  <c r="Q9" i="17" a="1"/>
  <c r="Q9" i="17" s="1"/>
  <c r="P9" i="17" a="1"/>
  <c r="P9" i="17" s="1"/>
  <c r="O9" i="17" a="1"/>
  <c r="O9" i="17" s="1"/>
  <c r="N9" i="17" a="1"/>
  <c r="N9" i="17" s="1"/>
  <c r="M9" i="17" a="1"/>
  <c r="M9" i="17" s="1"/>
  <c r="L9" i="17" a="1"/>
  <c r="L9" i="17" s="1"/>
  <c r="K9" i="17" a="1"/>
  <c r="K9" i="17" s="1"/>
  <c r="T9" i="6" a="1"/>
  <c r="T9" i="6" s="1"/>
  <c r="S9" i="6" a="1"/>
  <c r="S9" i="6" s="1"/>
  <c r="R9" i="6" a="1"/>
  <c r="R9" i="6" s="1"/>
  <c r="Q9" i="6" a="1"/>
  <c r="Q9" i="6" s="1"/>
  <c r="P9" i="6" a="1"/>
  <c r="P9" i="6" s="1"/>
  <c r="O9" i="6" a="1"/>
  <c r="O9" i="6" s="1"/>
  <c r="N9" i="6" a="1"/>
  <c r="N9" i="6" s="1"/>
  <c r="M9" i="6" a="1"/>
  <c r="M9" i="6" s="1"/>
  <c r="L9" i="6" a="1"/>
  <c r="L9" i="6" s="1"/>
  <c r="K9" i="6" a="1"/>
  <c r="K9" i="6" s="1"/>
  <c r="B16" i="29"/>
  <c r="AA10" i="29" a="1"/>
  <c r="AA10" i="29" s="1"/>
  <c r="Z10" i="29" a="1"/>
  <c r="Z10" i="29" s="1"/>
  <c r="Y10" i="29" a="1"/>
  <c r="Y10" i="29" s="1"/>
  <c r="X10" i="29" a="1"/>
  <c r="X10" i="29" s="1"/>
  <c r="W10" i="29" a="1"/>
  <c r="W10" i="29" s="1"/>
  <c r="V10" i="29" a="1"/>
  <c r="V10" i="29" s="1"/>
  <c r="U10" i="29" a="1"/>
  <c r="U10" i="29" s="1"/>
  <c r="T10" i="29" a="1"/>
  <c r="T10" i="29" s="1"/>
  <c r="S10" i="29" a="1"/>
  <c r="S10" i="29" s="1"/>
  <c r="R10" i="29" a="1"/>
  <c r="R10" i="29" s="1"/>
  <c r="Q10" i="29" a="1"/>
  <c r="Q10" i="29" s="1"/>
  <c r="P10" i="29" a="1"/>
  <c r="P10" i="29" s="1"/>
  <c r="O10" i="29" a="1"/>
  <c r="O10" i="29" s="1"/>
  <c r="N10" i="29" a="1"/>
  <c r="N10" i="29" s="1"/>
  <c r="M10" i="29" a="1"/>
  <c r="M10" i="29" s="1"/>
  <c r="L10" i="29" a="1"/>
  <c r="L10" i="29" s="1"/>
  <c r="K10" i="29" a="1"/>
  <c r="K10" i="29" s="1"/>
  <c r="AA9" i="29" a="1"/>
  <c r="AA9" i="29" s="1"/>
  <c r="Z9" i="29" a="1"/>
  <c r="Z9" i="29" s="1"/>
  <c r="T9" i="29" a="1"/>
  <c r="T9" i="29" s="1"/>
  <c r="S9" i="29" a="1"/>
  <c r="S9" i="29" s="1"/>
  <c r="R9" i="29" a="1"/>
  <c r="R9" i="29" s="1"/>
  <c r="Q9" i="29" a="1"/>
  <c r="Q9" i="29" s="1"/>
  <c r="P9" i="29" a="1"/>
  <c r="P9" i="29" s="1"/>
  <c r="O9" i="29" a="1"/>
  <c r="O9" i="29" s="1"/>
  <c r="N9" i="29" a="1"/>
  <c r="N9" i="29" s="1"/>
  <c r="M9" i="29" a="1"/>
  <c r="M9" i="29" s="1"/>
  <c r="L9" i="29" a="1"/>
  <c r="L9" i="29" s="1"/>
  <c r="K9" i="29" a="1"/>
  <c r="K9" i="29" s="1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B8" i="29"/>
  <c r="S11" i="6" a="1"/>
  <c r="S11" i="6" s="1"/>
  <c r="V11" i="6" a="1"/>
  <c r="V11" i="6" s="1"/>
  <c r="Z11" i="27" a="1"/>
  <c r="Z11" i="27" s="1"/>
  <c r="V11" i="27" a="1"/>
  <c r="V11" i="27" s="1"/>
  <c r="R11" i="27" a="1"/>
  <c r="R11" i="27" s="1"/>
  <c r="N11" i="27" a="1"/>
  <c r="N11" i="27" s="1"/>
  <c r="Y11" i="27" a="1"/>
  <c r="Y11" i="27" s="1"/>
  <c r="U11" i="27" a="1"/>
  <c r="U11" i="27" s="1"/>
  <c r="Q11" i="27" a="1"/>
  <c r="Q11" i="27" s="1"/>
  <c r="M11" i="27" a="1"/>
  <c r="M11" i="27" s="1"/>
  <c r="X11" i="27" a="1"/>
  <c r="X11" i="27" s="1"/>
  <c r="T11" i="27" a="1"/>
  <c r="T11" i="27" s="1"/>
  <c r="P11" i="27" a="1"/>
  <c r="P11" i="27" s="1"/>
  <c r="L11" i="27" a="1"/>
  <c r="L11" i="27" s="1"/>
  <c r="S11" i="27" a="1"/>
  <c r="S11" i="27" s="1"/>
  <c r="O11" i="27" a="1"/>
  <c r="O11" i="27" s="1"/>
  <c r="AA11" i="27" a="1"/>
  <c r="AA11" i="27" s="1"/>
  <c r="W11" i="27" a="1"/>
  <c r="W11" i="27" s="1"/>
  <c r="K11" i="27" a="1"/>
  <c r="K11" i="27" s="1"/>
  <c r="U11" i="24" a="1"/>
  <c r="U11" i="24" s="1"/>
  <c r="Q11" i="24" a="1"/>
  <c r="Q11" i="24" s="1"/>
  <c r="P11" i="24" a="1"/>
  <c r="P11" i="24" s="1"/>
  <c r="K11" i="25" a="1"/>
  <c r="K11" i="25" s="1"/>
  <c r="O11" i="25" a="1"/>
  <c r="O11" i="25" s="1"/>
  <c r="S11" i="25" a="1"/>
  <c r="S11" i="25" s="1"/>
  <c r="W11" i="25" a="1"/>
  <c r="W11" i="25" s="1"/>
  <c r="AA11" i="25" a="1"/>
  <c r="AA11" i="25" s="1"/>
  <c r="T11" i="6" a="1"/>
  <c r="T11" i="6" s="1"/>
  <c r="L11" i="25" a="1"/>
  <c r="L11" i="25" s="1"/>
  <c r="P11" i="25" a="1"/>
  <c r="P11" i="25" s="1"/>
  <c r="T11" i="25" a="1"/>
  <c r="T11" i="25" s="1"/>
  <c r="X11" i="25" a="1"/>
  <c r="X11" i="25" s="1"/>
  <c r="O11" i="23" l="1" a="1"/>
  <c r="O11" i="23" s="1"/>
  <c r="U11" i="23" a="1"/>
  <c r="U11" i="23" s="1"/>
  <c r="Z11" i="23" a="1"/>
  <c r="Z11" i="23" s="1"/>
  <c r="O11" i="24" a="1"/>
  <c r="O11" i="24" s="1"/>
  <c r="V11" i="24" a="1"/>
  <c r="V11" i="24" s="1"/>
  <c r="T11" i="24" a="1"/>
  <c r="T11" i="24" s="1"/>
  <c r="S11" i="24" a="1"/>
  <c r="S11" i="24" s="1"/>
  <c r="K11" i="23" a="1"/>
  <c r="K11" i="23" s="1"/>
  <c r="Q11" i="23" a="1"/>
  <c r="Q11" i="23" s="1"/>
  <c r="V11" i="23" a="1"/>
  <c r="V11" i="23" s="1"/>
  <c r="AA11" i="23" a="1"/>
  <c r="AA11" i="23" s="1"/>
  <c r="M11" i="23" a="1"/>
  <c r="M11" i="23" s="1"/>
  <c r="R11" i="23" a="1"/>
  <c r="R11" i="23" s="1"/>
  <c r="W11" i="23" a="1"/>
  <c r="W11" i="23" s="1"/>
  <c r="N11" i="23" a="1"/>
  <c r="N11" i="23" s="1"/>
  <c r="S11" i="23" a="1"/>
  <c r="S11" i="23" s="1"/>
  <c r="Y11" i="23" a="1"/>
  <c r="Y11" i="23" s="1"/>
  <c r="AA11" i="6" a="1"/>
  <c r="AA11" i="6" s="1"/>
  <c r="M11" i="6" a="1"/>
  <c r="M11" i="6" s="1"/>
  <c r="P11" i="6" a="1"/>
  <c r="P11" i="6" s="1"/>
  <c r="O11" i="6" a="1"/>
  <c r="O11" i="6" s="1"/>
  <c r="L11" i="6" a="1"/>
  <c r="L11" i="6" s="1"/>
  <c r="N11" i="6" a="1"/>
  <c r="N11" i="6" s="1"/>
  <c r="Z11" i="6" a="1"/>
  <c r="Z11" i="6" s="1"/>
  <c r="Y11" i="6" a="1"/>
  <c r="Y11" i="6" s="1"/>
  <c r="K11" i="6" a="1"/>
  <c r="K11" i="6" s="1"/>
  <c r="U11" i="6" a="1"/>
  <c r="U11" i="6" s="1"/>
  <c r="X11" i="6" a="1"/>
  <c r="X11" i="6" s="1"/>
  <c r="K11" i="29" a="1"/>
  <c r="K11" i="29" s="1"/>
  <c r="Y11" i="29" a="1"/>
  <c r="Y11" i="29" s="1"/>
  <c r="AA11" i="29" a="1"/>
  <c r="AA11" i="29" s="1"/>
  <c r="T11" i="29" a="1"/>
  <c r="T11" i="29" s="1"/>
  <c r="R11" i="29" a="1"/>
  <c r="R11" i="29" s="1"/>
  <c r="Z11" i="29" a="1"/>
  <c r="Z11" i="29" s="1"/>
  <c r="U11" i="29" a="1"/>
  <c r="U11" i="29" s="1"/>
  <c r="S11" i="29" a="1"/>
  <c r="S11" i="29" s="1"/>
  <c r="L11" i="23" a="1"/>
  <c r="L11" i="23" s="1"/>
  <c r="P11" i="23" a="1"/>
  <c r="P11" i="23" s="1"/>
  <c r="T11" i="23" a="1"/>
  <c r="T11" i="23" s="1"/>
  <c r="X11" i="23" a="1"/>
  <c r="X11" i="23" s="1"/>
  <c r="Q11" i="17" a="1"/>
  <c r="Q11" i="17" s="1"/>
  <c r="L11" i="17" a="1"/>
  <c r="L11" i="17" s="1"/>
  <c r="P11" i="17" a="1"/>
  <c r="P11" i="17" s="1"/>
  <c r="T11" i="17" a="1"/>
  <c r="T11" i="17" s="1"/>
  <c r="X11" i="17" a="1"/>
  <c r="X11" i="17" s="1"/>
  <c r="Q11" i="29" a="1"/>
  <c r="Q11" i="29" s="1"/>
  <c r="L11" i="29" a="1"/>
  <c r="L11" i="29" s="1"/>
  <c r="X11" i="29" a="1"/>
  <c r="X11" i="29" s="1"/>
  <c r="N11" i="29" a="1"/>
  <c r="N11" i="29" s="1"/>
  <c r="V11" i="29" a="1"/>
  <c r="V11" i="29" s="1"/>
  <c r="R11" i="24" a="1"/>
  <c r="R11" i="24" s="1"/>
  <c r="N11" i="17" a="1"/>
  <c r="N11" i="17" s="1"/>
  <c r="R11" i="17" a="1"/>
  <c r="R11" i="17" s="1"/>
  <c r="V11" i="17" a="1"/>
  <c r="V11" i="17" s="1"/>
  <c r="Z11" i="17" a="1"/>
  <c r="Z11" i="17" s="1"/>
  <c r="M11" i="29" a="1"/>
  <c r="M11" i="29" s="1"/>
  <c r="P11" i="29" a="1"/>
  <c r="P11" i="29" s="1"/>
  <c r="O11" i="29" a="1"/>
  <c r="O11" i="29" s="1"/>
  <c r="W11" i="29" a="1"/>
  <c r="W11" i="29" s="1"/>
  <c r="K11" i="17" a="1"/>
  <c r="K11" i="17" s="1"/>
  <c r="O11" i="17" a="1"/>
  <c r="O11" i="17" s="1"/>
  <c r="S11" i="17" a="1"/>
  <c r="S11" i="17" s="1"/>
  <c r="W11" i="17" a="1"/>
  <c r="W11" i="17" s="1"/>
  <c r="AA11" i="17" a="1"/>
  <c r="AA11" i="17" s="1"/>
  <c r="W11" i="6" a="1"/>
  <c r="W11" i="6" s="1"/>
  <c r="R11" i="6" a="1"/>
  <c r="R11" i="6" s="1"/>
  <c r="W11" i="24" a="1"/>
  <c r="W11" i="24" s="1"/>
  <c r="X11" i="24" a="1"/>
  <c r="X11" i="24" s="1"/>
  <c r="Y11" i="24" a="1"/>
  <c r="Y11" i="24" s="1"/>
  <c r="K11" i="24" a="1"/>
  <c r="K11" i="24" s="1"/>
  <c r="AA11" i="24" a="1"/>
  <c r="AA11" i="24" s="1"/>
  <c r="L11" i="24" a="1"/>
  <c r="L11" i="24" s="1"/>
  <c r="M11" i="24" a="1"/>
  <c r="M11" i="24" s="1"/>
  <c r="Z11" i="24" a="1"/>
  <c r="Z11" i="24" s="1"/>
</calcChain>
</file>

<file path=xl/sharedStrings.xml><?xml version="1.0" encoding="utf-8"?>
<sst xmlns="http://schemas.openxmlformats.org/spreadsheetml/2006/main" count="1153" uniqueCount="193">
  <si>
    <t>Goal</t>
  </si>
  <si>
    <t>Metric</t>
  </si>
  <si>
    <t>Above</t>
  </si>
  <si>
    <t>Below</t>
  </si>
  <si>
    <t>Measured Rate 
[% Measured]</t>
  </si>
  <si>
    <t>Brand Safety 
[% Failed]</t>
  </si>
  <si>
    <t>Weight</t>
  </si>
  <si>
    <t>% Weight</t>
  </si>
  <si>
    <t>Power Rank</t>
  </si>
  <si>
    <t>Campaign</t>
  </si>
  <si>
    <t>N/A</t>
  </si>
  <si>
    <t>Measured Impressions</t>
  </si>
  <si>
    <t>Highlighting Thresholds</t>
  </si>
  <si>
    <t>Total Impressions</t>
  </si>
  <si>
    <t>Performance Roll-up</t>
  </si>
  <si>
    <t>Benchmarks</t>
  </si>
  <si>
    <t>Client Goals</t>
  </si>
  <si>
    <t>Campaign 2</t>
  </si>
  <si>
    <t>Campaign 3</t>
  </si>
  <si>
    <t>Blocking Status</t>
  </si>
  <si>
    <t>Team</t>
  </si>
  <si>
    <t>HIDE COLUMN</t>
  </si>
  <si>
    <t>Placement</t>
  </si>
  <si>
    <t>Brand Safety 
[% Passed]</t>
  </si>
  <si>
    <t>Brand Safety 
[% Failed by Content]</t>
  </si>
  <si>
    <t>Brand Safety 
[% Failed by Geo]</t>
  </si>
  <si>
    <t>Brand Safety 
[% Failed by Keyword]</t>
  </si>
  <si>
    <t>Brand Safety 
[% Failed by Blacklist]</t>
  </si>
  <si>
    <t>Fraud 
[% Fraud]</t>
  </si>
  <si>
    <t>Region</t>
  </si>
  <si>
    <t>USA</t>
  </si>
  <si>
    <t>Brand</t>
  </si>
  <si>
    <t>Brand 1</t>
  </si>
  <si>
    <t>Brand 2</t>
  </si>
  <si>
    <t>Brand 3</t>
  </si>
  <si>
    <t>Team 1</t>
  </si>
  <si>
    <t>A</t>
  </si>
  <si>
    <t>Creative Size</t>
  </si>
  <si>
    <t>Device Type</t>
  </si>
  <si>
    <t>B</t>
  </si>
  <si>
    <t>Team 2</t>
  </si>
  <si>
    <t>Team 3</t>
  </si>
  <si>
    <t>Spain</t>
  </si>
  <si>
    <t>England</t>
  </si>
  <si>
    <t>C</t>
  </si>
  <si>
    <t>D</t>
  </si>
  <si>
    <t>E</t>
  </si>
  <si>
    <t>F</t>
  </si>
  <si>
    <t>FY16_PS4_Always On Summer Connoisseurs</t>
  </si>
  <si>
    <t>Maps to Publisher &amp; Placement Tab</t>
  </si>
  <si>
    <t>Amazon com_8 10-8 31 Homepage ATF - Rectangle _300 x 250_SS_Display_Desktop Only_STANDARD_P4VM7R</t>
  </si>
  <si>
    <t>Amazon Ad Platform_8 10-8 31 Rectangle_300 x 250_SS_Display_Desktop Only_STANDARD_P4VM81</t>
  </si>
  <si>
    <t>Amazon Ad Platform_8 10-8 31 Leaderboard_728 x 90_SS_Display_Desktop Only_STANDARD_P4VM82</t>
  </si>
  <si>
    <t>Pandora AMNET PMP_Web 300x250 8 10-8 31_300 x 250_SS_Display_Desktop Only_STANDARD_P4WX3P</t>
  </si>
  <si>
    <t>Amnet Group_BTPS3 Owners  8 10-8 31_1 x 1_TP_Video Player LongShort Form_Desktop Only_VIDEO_P4WF2S</t>
  </si>
  <si>
    <t>CBSi Games AMNET PMP_RON Billboard  8 10-8 31_970 x 250 Expandable_SS_Display_Desktop Only_RM_P4WX2D</t>
  </si>
  <si>
    <t>Bleacher Report_8 10-8 31 Premium Sports ROS - DT Leaderboard_728 x 90_RM_Display_Desktop Only_STANDARD_P4VQS2</t>
  </si>
  <si>
    <t>Bleacher Report_8 10-8 31 Premium Sports ROS - DT Med Rec_300 x 250_RM_Display_Desktop Only_STANDARD_P4VQS5</t>
  </si>
  <si>
    <t>Amnet Group_CTPS3 Sites  8 10-8 31_1 x 1_TP_Video Player LongShort Form_Desktop Only_VIDEO_P4WF2X</t>
  </si>
  <si>
    <t>Amnet Group _CT-PS3 Owners/ PS3 Sites_8 9-8 31 _728 x 90  _TP _Display Standard _Desktop Only _STANDARD _P51W8S</t>
  </si>
  <si>
    <t>CBSi Games AMNET PMP_PlayStation or XBOX Targeted Super Leader  8 10-8 30_970 x 66 Expandable_SS_Display_Desktop Only_RM_P4WX21</t>
  </si>
  <si>
    <t>CBSi Games AMNET PMP_PlayStation or XBOX Targeted MPU  8 10-831_300 x 250_SS_Display_Desktop Only_STANDARD_P4WX22</t>
  </si>
  <si>
    <t>GameSTOP AMNET PMP_Leaderboard targeted to PS3 PS4 8 10-8 31_728 x 90_SS_Display_Desktop Only_STANDARD_P4WX2L</t>
  </si>
  <si>
    <t>Twitch AMNET PMP_Desktop Video August 8 10-8 31_640 x 480_SS_Display_Desktop Only_VIDEO_P4WX3S</t>
  </si>
  <si>
    <t>Amnet Group _CT-PS3 Owners/ PS3 Sites_8 9-8 31 _300 x 250  _TP _Display Standard _Desktop Only _STANDARD _P51W8Q</t>
  </si>
  <si>
    <t>IGN COM_8 25 Point of Entry RB - Med Rec_300 x 250 _TP_Display _Desktop Only_TAKEOVER_P5HP1Y</t>
  </si>
  <si>
    <t>IGN COM_8 25 Point of Entry RB - Header_970 x 250 _TP_Display _Desktop Only_TAKEOVER_P5HP1X</t>
  </si>
  <si>
    <t>CBSi Games AMNET PMP_PlayStation or XBOX Targeted Billboard  8 10-8 31_970 x 250 Expandable_SS_Display_Desktop Only_RM_P4WX26</t>
  </si>
  <si>
    <t>CBSi Games AMNET PMP_RON Super Leader  8 10-8 31_970 x 66 Expandable_SS_Display_Desktop Only_RM_P4WX31</t>
  </si>
  <si>
    <t>CBSi Games AMNET PMP_RON MPU  8 10-8 31_300 x 250_SS_Display_Desktop Only_STANDARD_P4WX2Z</t>
  </si>
  <si>
    <t>CBSi Games AMNET PMP_PlayStation or XBOX Targeted Half Page MPU  8 10-8 31_300 x 600_SS_Display_Multiple Devices_STANDARD_P4WX1W</t>
  </si>
  <si>
    <t>CBSi Games AMNET PMP_RON Half Page MPU  8 10-8 31_300 x 600_SS_Display_Desktop Only_STANDARD_P4WX2N</t>
  </si>
  <si>
    <t>Amnet Group_CTPS3 Owners PS3 Sites 6 23-8 31_728 x 90_TP_Display_Desktop Only_STANDARD_P4W1QZ</t>
  </si>
  <si>
    <t>Twitch_8 10-8 31 Synced Units DT Only - Leader_970 x 66_TP_Display_Desktop Only_STANDARD_P4VNC2</t>
  </si>
  <si>
    <t>Twitch_8 10-8 31 Synced Units DT Only - Med Rec_300 x 250_TP_Display_Desktop Only_STANDARD_P4VNC1</t>
  </si>
  <si>
    <t>CBSi Games AMNET PMP_PlayStation or XBOX Targeted Mobile  8 10-8 31_300 x 250_SS_Mobile Mobile Web_Mobile Only_MOBILE_P4WX1Y</t>
  </si>
  <si>
    <t>Amazon Ad Platform_8 10-8 31 Skyscraper_160 x 600_SS_Display_Desktop Only_STANDARD_P4VM83</t>
  </si>
  <si>
    <t>KARGO_8 10-8 31 Animated Interstitial Mobile Web_300 x 250_TP_Mobile Mobile Web_Mobile Only_MOBILE_P4VSMT</t>
  </si>
  <si>
    <t>Amazon Ad Platform_8 10-8 31 Half Page_300 x 600_SS_Display_Desktop Only_STANDARD_P4VM7Z</t>
  </si>
  <si>
    <t>GameStop_8 10-8 31 PS3 HPTO - Skin_1 x 1_SS_Page Skin_Desktop Only_TAKEOVER_P4VNC0</t>
  </si>
  <si>
    <t>Amnet Group _CT-PS3 Owners/XBOX 360 Dual Owners_8 9-8 31 _728 x 90  _TP _Display Standard _Desktop Only _STANDARD _P51W8X</t>
  </si>
  <si>
    <t>Amnet Group _CT-PS3 Owners/XBOX 360 Dual Owners_8 9-8 31 _300 x 250  _TP _Display Standard _Desktop Only _STANDARD _P51W8V</t>
  </si>
  <si>
    <t>GameStop_8 10-8 31 PS3 HPTO - Med Rec_300 x 250_RM_Takeover_Desktop Only_TAKEOVER_P4VNBZ</t>
  </si>
  <si>
    <t>IGN com_8 10-8 31 PS3Xbox360 Targeted Rotating RB - Med Rec_300 x 250_TP_Display_Desktop Only_TAKEOVER_P4VN9Z</t>
  </si>
  <si>
    <t>IGN com_8 10-8 31 PS3 Targeted Rotating RB - Med Rec_300 x 250_TP_Display_Desktop Only_TAKEOVER_P4VN9X</t>
  </si>
  <si>
    <t>GameStop_8 10-8 31 PS3 HPTO - Blade_970 x 66 Pushdown_RM_Takeover_Desktop Only_TAKEOVER_P4VNBY</t>
  </si>
  <si>
    <t>IGN COM_8 30 Point of Entry RB - Med Rec_300 x 250 _TP_Display _Desktop Only_TAKEOVER_P5HP3Z</t>
  </si>
  <si>
    <t>IGN COM_8 30 Point of Entry RB - Header_970 x 250 _TP_Display _Desktop Only_TAKEOVER_P5HP3Y</t>
  </si>
  <si>
    <t>IGN com_8 10-8 31 PS3Xbox360 Targeted Rotating RB - Header_970 x 250 Pushdown_TP_Display_Desktop Only_TAKEOVER_P4VN9Y</t>
  </si>
  <si>
    <t>IGN com_8 10-8 31 PS3 Targeted Rotating RB - Header_970 x 250 Pushdown_TP_Display_Desktop Only_TAKEOVER_P4VN9W</t>
  </si>
  <si>
    <t>Amnet Group_CTPS3 Owners PS3 Sites 6 23-8 31_300 x 250_TP_Display_Desktop Only_STANDARD_P4W1QT</t>
  </si>
  <si>
    <t>Amnet Group _CT-PS3 Owners/ PS3 Sites_8 9-8 31 _160 x 600  _TP _Display Standard _Desktop Only _STANDARD _P51W8P</t>
  </si>
  <si>
    <t>GameSpotFAQs_8 18 Mobile Takeover - Med Rec_300 x 250_SS_Mobile Mobile Web_Mobile Only_TAKEOVER_P4VN7N</t>
  </si>
  <si>
    <t>CBSi Games AMNET PMP_Mobile MPU 8 10-8 30_300 x 250_SS_Mobile Mobile Web_Mobile Only_MOBILE_P4WX24</t>
  </si>
  <si>
    <t>Amnet Group _CT-PS3 Owners/ PS3 Sites_8 9-8 31 _300 x 600  _TP _Display Standard _Desktop Only _STANDARD _P51W8R</t>
  </si>
  <si>
    <t>CBSi Games_8 10-8 31 PS3 and X360 Targeted - Med Rec_300 x 250_TP_Display_Desktop Only_STANDARD_P4VN7H</t>
  </si>
  <si>
    <t>CBSi Games_8 10-8 31 PS3 and X360 Targeted - Super Leader_970 x 66 Pushdown_TP_Display_Desktop Only_RM_P4VN7G</t>
  </si>
  <si>
    <t>Amnet Group_CTPS3 OwnersXBOX 360 Dual Owners 6 23-8 31_728 x 90_TP_Display_Desktop Only_STANDARD_P4W1QV</t>
  </si>
  <si>
    <t>Amnet Group_CTPS3 OwnersXBOX 360 Dual Owners 6 23-8 31_300 x 250_TP_Display_Desktop Only_STANDARD_P4W1R2</t>
  </si>
  <si>
    <t>Amnet Group_CTPS3 Owners PS3 Sites 6 23-8 31_160 x 600_TP_Display_Desktop Only_STANDARD_P4W1R0</t>
  </si>
  <si>
    <t>Amnet Group_RTLanding Page  8 10-8 31_1 x 1_TP_Video Player LongShort Form_Desktop Only_VIDEO_P4WF2V</t>
  </si>
  <si>
    <t>IGN COM_8 24 PS Channel Fixed RB - Billboard_970 x 250 _TP_Display _Desktop Only_TAKEOVER_P5HWJN</t>
  </si>
  <si>
    <t>IGN COM_8 24 PS Channel Fixed RB - Med Rec_300 x 250 _TP_Display _Desktop Only_TAKEOVER_P5HWJP</t>
  </si>
  <si>
    <t>GameStop_8 14 HPTO - Skin_1 x 1_SS_Page Skin_Desktop Only_TAKEOVER_P4VNBQ</t>
  </si>
  <si>
    <t>GameStop_8 14 HPTO - Med Rec_300 x 250_RM_Takeover_Desktop Only_TAKEOVER_P4VNBN</t>
  </si>
  <si>
    <t>GameStop_8 14 HPTO - Blade_970 x 66 Pushdown_RM_Takeover_Desktop Only_TAKEOVER_P4VNBP</t>
  </si>
  <si>
    <t>Pandora_8 10-8 31 Web APV Segment Targeting - 30s Video_1 x 1_SS_Video Player LongShort Form_Desktop Only_VIDEO_P4VN5P</t>
  </si>
  <si>
    <t>Pandora_8 10-8 31 Web APV Segment Targeting - Companion Banner_300 x 250_TP_Companion Ad_Desktop Only_VIDEO_P4VN5N</t>
  </si>
  <si>
    <t>Amnet Group_CTPS3 Owners PS3 Sites 6 23-8 31_300 x 600_TP_Display_Desktop Only_STANDARD_P4W1QS</t>
  </si>
  <si>
    <t>Amnet Group _CT-PS3 Owners/XBOX 360 Dual Owners_8 9-8 31 _160 x 600  _TP _Display Standard _Desktop Only _STANDARD _P51W8T</t>
  </si>
  <si>
    <t>Bleacher Report_8 10-8 31 30s Pre-Roll - AV Companion_300 x 250_RM_Display_Desktop Only_VIDEO_P4VQS6</t>
  </si>
  <si>
    <t>Bleacher Report_8 10-8 31 30s Pre-Roll - Video_1 x 1_SS_Display_Desktop Only_VIDEO_P4VQS8</t>
  </si>
  <si>
    <t>IGN com_8 10-8 31 PS3 Targeted DT Only - Pre-Roll Video_1 x 1_VAST_Display_Desktop Only_VIDEO_P4VN95</t>
  </si>
  <si>
    <t>IGN com_8 10-8 31 PS3 Targeted DT Only - Pre-Roll Companion_300 x 250_VAST_Display_Desktop Only_VIDEO_P4VN91</t>
  </si>
  <si>
    <t>Amnet Group _CT-PS3 Owners/XBOX 360 Dual Owners_8 9-8 31 _300 x 600  _TP _Display Standard _Desktop Only _STANDARD _P51W8W</t>
  </si>
  <si>
    <t>Amnet Group _RT-Connoisseurs Landing Page_8 9-8 31 _728 x 90  _TP _Display Standard _Desktop Only _STANDARD _P51W93</t>
  </si>
  <si>
    <t>GameSpotFAQs_8 25 PS Targeted Takeover - Super Leader_970 x 66 Pushdown_TP_Takeover_Desktop Only_TAKEOVER_P4VN7Z</t>
  </si>
  <si>
    <t>GameSpotFAQs_8 25 PS Targeted Takeover - MPU_300 x 250_TP_Takeover_Desktop Only_TAKEOVER_P4VN80</t>
  </si>
  <si>
    <t>GAMESPOTFAQS_8 27 PS Targeted Takeover - MPU_300 x 250 _TP_Takeover_Desktop Only_TAKEOVER_P5HPQ8</t>
  </si>
  <si>
    <t>GAMESPOTFAQS_8 27 PS Targeted Takeover - Skin_1 x 1 _SS_Takeover_Desktop Only_TAKEOVER_P5HPQ9</t>
  </si>
  <si>
    <t>GAMESPOTFAQS_8 27 PS Targeted Takeover - Super Leader_970 x 66 _TP_Takeover_Desktop Only_TAKEOVER_P5HPQB</t>
  </si>
  <si>
    <t>GameSpotFAQs_8 10 PS Targeted Takeover - MPU_300 x 250_TP_Takeover_Desktop Only_TAKEOVER_P4VN7W</t>
  </si>
  <si>
    <t>GameSpotFAQs_8 10 PS Targeted Takeover - Super Leader_970 x 66 Pushdown_TP_Takeover_Desktop Only_TAKEOVER_P4VN7X</t>
  </si>
  <si>
    <t>sdfasd</t>
  </si>
  <si>
    <t>Mixed</t>
  </si>
  <si>
    <t>Maps to Campaign &amp; Publisher Tab</t>
  </si>
  <si>
    <t>Desktop - Display</t>
  </si>
  <si>
    <t>Phone - Browser - Display</t>
  </si>
  <si>
    <t>Tablet - Browser - Display</t>
  </si>
  <si>
    <t>Tablet - App - Display</t>
  </si>
  <si>
    <t>Overall</t>
  </si>
  <si>
    <t>Device Type Dropdown</t>
  </si>
  <si>
    <t>Benchmark</t>
  </si>
  <si>
    <t>Category</t>
  </si>
  <si>
    <t>Desktop - Video</t>
  </si>
  <si>
    <t>Phone - Browser - Video</t>
  </si>
  <si>
    <t>Phone - App - Display</t>
  </si>
  <si>
    <t>Phone - App - Video</t>
  </si>
  <si>
    <t>Tablet - Browser - Video</t>
  </si>
  <si>
    <t>Tablet - App - Video</t>
  </si>
  <si>
    <t>[Enter Brand Dropdown]</t>
  </si>
  <si>
    <t>Partner</t>
  </si>
  <si>
    <t>Partner 1</t>
  </si>
  <si>
    <t>Partner 2</t>
  </si>
  <si>
    <t>Partner 3</t>
  </si>
  <si>
    <t>Placement 1</t>
  </si>
  <si>
    <t>Partner Type</t>
  </si>
  <si>
    <t>Campaign-level Mapping</t>
  </si>
  <si>
    <t>Team-level Mapping</t>
  </si>
  <si>
    <t>Direct</t>
  </si>
  <si>
    <t>Programmatic</t>
  </si>
  <si>
    <t>Region (Team)</t>
  </si>
  <si>
    <t>NO MAPPING</t>
  </si>
  <si>
    <t>Campaign 1</t>
  </si>
  <si>
    <t>YYYY-MM</t>
  </si>
  <si>
    <t>[TEAM NAME]</t>
  </si>
  <si>
    <t>Brand Safety 
[% Failed by Language]</t>
  </si>
  <si>
    <t>Viewability 
[Total Viewable Rate (Total Net Metrics)]</t>
  </si>
  <si>
    <t>Display Viewability 
[Total Viewable Rate (Total Net Metrics)]</t>
  </si>
  <si>
    <t>Video Viewability 
[Total Viewable Rate (Total Net Metrics)]</t>
  </si>
  <si>
    <t>GroupM Viewability 
[% Display Ads Fully in View]</t>
  </si>
  <si>
    <t>GroupM Viewability 
[% Videos Fully in View]</t>
  </si>
  <si>
    <t>See-Through Rate 
[% Visible]</t>
  </si>
  <si>
    <t>Publicis Viewability 
[% Display Ads Fully in View]</t>
  </si>
  <si>
    <t>Publicis Viewability 
[% Videos Fully in View]</t>
  </si>
  <si>
    <t>AKQA_Clorox</t>
  </si>
  <si>
    <t>BCC FY18 OND Burts Bees Color Cosmetics</t>
  </si>
  <si>
    <t>team id</t>
  </si>
  <si>
    <t>team name</t>
  </si>
  <si>
    <t>campaign name</t>
  </si>
  <si>
    <t>partner name</t>
  </si>
  <si>
    <t>placement name</t>
  </si>
  <si>
    <t>device type</t>
  </si>
  <si>
    <t>blocking status</t>
  </si>
  <si>
    <t>measured impressions</t>
  </si>
  <si>
    <t>total impressions</t>
  </si>
  <si>
    <t>% measured</t>
  </si>
  <si>
    <t>% see-through</t>
  </si>
  <si>
    <t>% passed</t>
  </si>
  <si>
    <t>% failed</t>
  </si>
  <si>
    <t>% failed by content</t>
  </si>
  <si>
    <t>% failed by geo</t>
  </si>
  <si>
    <t>% failed by keyword</t>
  </si>
  <si>
    <t>% failed by blacklist</t>
  </si>
  <si>
    <t>% failed by language</t>
  </si>
  <si>
    <t>% fraud</t>
  </si>
  <si>
    <t>total viewable rate (total net metrics)</t>
  </si>
  <si>
    <t>total viewable display rate (total net metrics)</t>
  </si>
  <si>
    <t>total viewable video rate (total net metrics)</t>
  </si>
  <si>
    <t>% display ads in view (groupm)</t>
  </si>
  <si>
    <t>% video ads in view (groupm)</t>
  </si>
  <si>
    <t>% display ads in view (publicis)</t>
  </si>
  <si>
    <t>% video ads in view (publicis)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</si>
</sst>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8"/>
      <color theme="3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22"/>
      <color theme="3"/>
      <name val="Tahoma"/>
      <family val="2"/>
    </font>
    <font>
      <b/>
      <sz val="12.5"/>
      <color theme="0"/>
      <name val="Tahoma"/>
      <family val="2"/>
    </font>
    <font>
      <b/>
      <sz val="10"/>
      <color rgb="FFFFFF00"/>
      <name val="Tahoma"/>
      <family val="2"/>
    </font>
    <font>
      <b/>
      <sz val="10"/>
      <color theme="0"/>
      <name val="Tahoma"/>
      <family val="2"/>
    </font>
    <font>
      <sz val="10"/>
      <name val="Tahoma"/>
      <family val="2"/>
    </font>
    <font>
      <b/>
      <sz val="10"/>
      <color theme="3"/>
      <name val="Tahoma"/>
      <family val="2"/>
    </font>
    <font>
      <b/>
      <i/>
      <sz val="10"/>
      <color theme="0"/>
      <name val="Tahoma"/>
      <family val="2"/>
    </font>
    <font>
      <b/>
      <sz val="10"/>
      <color indexed="9"/>
      <name val="Tahoma"/>
      <family val="2"/>
    </font>
    <font>
      <sz val="10"/>
      <color theme="3"/>
      <name val="Tahoma"/>
      <family val="2"/>
    </font>
    <font>
      <b/>
      <sz val="10"/>
      <name val="Tahoma"/>
      <family val="2"/>
    </font>
    <font>
      <b/>
      <sz val="10"/>
      <color indexed="56"/>
      <name val="Tahoma"/>
      <family val="2"/>
    </font>
    <font>
      <b/>
      <sz val="10"/>
      <color theme="1" tint="0.34998626667073579"/>
      <name val="Tahoma"/>
      <family val="2"/>
    </font>
    <font>
      <sz val="10"/>
      <color indexed="56"/>
      <name val="Tahoma"/>
      <family val="2"/>
    </font>
    <font>
      <sz val="10"/>
      <color theme="1"/>
      <name val="Tahoma"/>
      <family val="2"/>
    </font>
    <font>
      <b/>
      <sz val="10"/>
      <color rgb="FFFFFF00"/>
      <name val="Tahoma"/>
      <family val="2"/>
    </font>
    <font>
      <b/>
      <sz val="10"/>
      <color theme="0"/>
      <name val="Tahoma"/>
      <family val="2"/>
    </font>
    <font>
      <sz val="10"/>
      <name val="Tahoma"/>
      <family val="2"/>
    </font>
    <font>
      <b/>
      <sz val="18"/>
      <color theme="3"/>
      <name val="Tahoma"/>
      <family val="2"/>
    </font>
    <font>
      <b/>
      <sz val="10"/>
      <color theme="3"/>
      <name val="Tahoma"/>
      <family val="2"/>
    </font>
    <font>
      <b/>
      <i/>
      <sz val="10"/>
      <color theme="0"/>
      <name val="Tahoma"/>
      <family val="2"/>
    </font>
    <font>
      <b/>
      <sz val="10"/>
      <color indexed="9"/>
      <name val="Tahoma"/>
      <family val="2"/>
    </font>
    <font>
      <sz val="10"/>
      <color theme="3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AF5C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4555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2">
    <xf numFmtId="0" fontId="0" fillId="0" borderId="0" xfId="0"/>
    <xf numFmtId="0" fontId="0" fillId="0" borderId="0" xfId="0" applyBorder="1"/>
    <xf numFmtId="0" fontId="3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0" fillId="0" borderId="0" xfId="0" applyFont="1" applyBorder="1"/>
    <xf numFmtId="0" fontId="8" fillId="3" borderId="0" xfId="0" applyFont="1" applyFill="1"/>
    <xf numFmtId="0" fontId="11" fillId="0" borderId="0" xfId="0" applyFont="1" applyFill="1" applyAlignment="1">
      <alignment horizontal="left" vertical="center" wrapText="1"/>
    </xf>
    <xf numFmtId="10" fontId="11" fillId="0" borderId="0" xfId="2" applyNumberFormat="1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11" fillId="3" borderId="0" xfId="0" applyFont="1" applyFill="1" applyProtection="1">
      <protection locked="0"/>
    </xf>
    <xf numFmtId="0" fontId="11" fillId="3" borderId="0" xfId="0" applyFont="1" applyFill="1" applyAlignment="1" applyProtection="1">
      <protection locked="0"/>
    </xf>
    <xf numFmtId="0" fontId="11" fillId="4" borderId="0" xfId="0" applyFont="1" applyFill="1" applyAlignment="1" applyProtection="1">
      <protection locked="0"/>
    </xf>
    <xf numFmtId="0" fontId="14" fillId="4" borderId="0" xfId="0" applyFont="1" applyFill="1" applyAlignment="1" applyProtection="1">
      <alignment horizontal="center" vertical="center" wrapText="1"/>
      <protection locked="0"/>
    </xf>
    <xf numFmtId="0" fontId="11" fillId="3" borderId="0" xfId="0" applyFont="1" applyFill="1" applyAlignment="1" applyProtection="1">
      <alignment horizontal="right"/>
      <protection locked="0"/>
    </xf>
    <xf numFmtId="1" fontId="11" fillId="3" borderId="0" xfId="0" applyNumberFormat="1" applyFont="1" applyFill="1" applyProtection="1">
      <protection locked="0"/>
    </xf>
    <xf numFmtId="0" fontId="14" fillId="4" borderId="0" xfId="0" applyFont="1" applyFill="1" applyAlignment="1" applyProtection="1">
      <alignment vertical="center"/>
      <protection locked="0"/>
    </xf>
    <xf numFmtId="0" fontId="15" fillId="10" borderId="6" xfId="0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Alignment="1" applyProtection="1">
      <alignment vertical="center"/>
      <protection locked="0"/>
    </xf>
    <xf numFmtId="9" fontId="16" fillId="5" borderId="7" xfId="3" applyNumberFormat="1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Protection="1">
      <protection locked="0"/>
    </xf>
    <xf numFmtId="9" fontId="11" fillId="3" borderId="0" xfId="0" applyNumberFormat="1" applyFont="1" applyFill="1" applyBorder="1" applyProtection="1">
      <protection locked="0"/>
    </xf>
    <xf numFmtId="0" fontId="11" fillId="3" borderId="0" xfId="0" applyFont="1" applyFill="1" applyBorder="1" applyAlignment="1" applyProtection="1">
      <alignment vertical="center"/>
      <protection locked="0"/>
    </xf>
    <xf numFmtId="0" fontId="17" fillId="4" borderId="10" xfId="0" applyFont="1" applyFill="1" applyBorder="1" applyAlignment="1" applyProtection="1">
      <alignment vertical="center"/>
      <protection locked="0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5" fillId="0" borderId="1" xfId="0" applyFont="1" applyFill="1" applyBorder="1" applyAlignment="1" applyProtection="1">
      <alignment horizontal="center" vertical="center" wrapText="1"/>
      <protection locked="0"/>
    </xf>
    <xf numFmtId="1" fontId="11" fillId="3" borderId="0" xfId="0" applyNumberFormat="1" applyFont="1" applyFill="1" applyAlignment="1" applyProtection="1">
      <alignment vertical="center"/>
      <protection locked="0"/>
    </xf>
    <xf numFmtId="0" fontId="14" fillId="4" borderId="0" xfId="0" applyFont="1" applyFill="1" applyBorder="1" applyAlignment="1" applyProtection="1">
      <alignment vertical="center"/>
      <protection locked="0"/>
    </xf>
    <xf numFmtId="0" fontId="17" fillId="4" borderId="0" xfId="0" applyFont="1" applyFill="1" applyBorder="1" applyAlignment="1" applyProtection="1">
      <alignment vertical="center"/>
      <protection locked="0"/>
    </xf>
    <xf numFmtId="0" fontId="11" fillId="0" borderId="1" xfId="0" applyFont="1" applyFill="1" applyBorder="1" applyAlignment="1" applyProtection="1">
      <alignment horizontal="center" vertical="center"/>
      <protection locked="0"/>
    </xf>
    <xf numFmtId="10" fontId="11" fillId="0" borderId="1" xfId="0" applyNumberFormat="1" applyFont="1" applyFill="1" applyBorder="1" applyAlignment="1" applyProtection="1">
      <alignment horizontal="center" vertical="center"/>
      <protection locked="0"/>
    </xf>
    <xf numFmtId="1" fontId="11" fillId="0" borderId="0" xfId="2" applyNumberFormat="1" applyFont="1" applyFill="1" applyBorder="1" applyAlignment="1" applyProtection="1">
      <alignment horizontal="center" vertical="center"/>
      <protection locked="0"/>
    </xf>
    <xf numFmtId="10" fontId="11" fillId="0" borderId="0" xfId="2" applyNumberFormat="1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7" fillId="3" borderId="3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vertical="center"/>
      <protection locked="0"/>
    </xf>
    <xf numFmtId="0" fontId="11" fillId="4" borderId="0" xfId="0" applyFont="1" applyFill="1" applyBorder="1" applyAlignment="1" applyProtection="1">
      <alignment vertical="center"/>
      <protection locked="0"/>
    </xf>
    <xf numFmtId="0" fontId="11" fillId="3" borderId="0" xfId="0" applyFont="1" applyFill="1" applyAlignment="1" applyProtection="1">
      <alignment horizontal="center" vertical="center"/>
      <protection locked="0"/>
    </xf>
    <xf numFmtId="0" fontId="11" fillId="3" borderId="0" xfId="0" applyFont="1" applyFill="1" applyBorder="1" applyAlignment="1" applyProtection="1">
      <alignment horizontal="center" vertical="center"/>
      <protection locked="0"/>
    </xf>
    <xf numFmtId="0" fontId="15" fillId="0" borderId="0" xfId="0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Fill="1" applyBorder="1" applyAlignment="1" applyProtection="1">
      <alignment horizontal="center" vertical="center"/>
      <protection locked="0"/>
    </xf>
    <xf numFmtId="0" fontId="15" fillId="0" borderId="4" xfId="0" applyFont="1" applyFill="1" applyBorder="1" applyAlignment="1" applyProtection="1">
      <alignment horizontal="center" vertical="center"/>
      <protection locked="0"/>
    </xf>
    <xf numFmtId="0" fontId="15" fillId="0" borderId="4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 applyProtection="1">
      <alignment horizontal="center" vertical="center"/>
      <protection locked="0"/>
    </xf>
    <xf numFmtId="0" fontId="10" fillId="0" borderId="0" xfId="0" quotePrefix="1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 applyProtection="1">
      <alignment horizontal="left"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  <xf numFmtId="164" fontId="11" fillId="0" borderId="0" xfId="1" applyNumberFormat="1" applyFont="1" applyFill="1" applyBorder="1" applyAlignment="1" applyProtection="1">
      <alignment vertical="center"/>
      <protection locked="0"/>
    </xf>
    <xf numFmtId="3" fontId="11" fillId="0" borderId="0" xfId="0" applyNumberFormat="1" applyFont="1" applyFill="1" applyBorder="1" applyAlignment="1" applyProtection="1">
      <alignment vertical="center"/>
      <protection locked="0"/>
    </xf>
    <xf numFmtId="10" fontId="11" fillId="0" borderId="0" xfId="2" applyNumberFormat="1" applyFont="1" applyFill="1" applyBorder="1" applyAlignment="1" applyProtection="1">
      <alignment horizontal="right" vertical="center"/>
      <protection locked="0"/>
    </xf>
    <xf numFmtId="0" fontId="10" fillId="3" borderId="0" xfId="0" applyFont="1" applyFill="1" applyAlignment="1" applyProtection="1">
      <protection locked="0"/>
    </xf>
    <xf numFmtId="0" fontId="21" fillId="3" borderId="0" xfId="0" applyFont="1" applyFill="1" applyAlignment="1" applyProtection="1">
      <protection locked="0"/>
    </xf>
    <xf numFmtId="0" fontId="11" fillId="3" borderId="0" xfId="0" applyFont="1" applyFill="1"/>
    <xf numFmtId="0" fontId="20" fillId="4" borderId="0" xfId="0" applyFont="1" applyFill="1" applyAlignment="1">
      <alignment vertical="center"/>
    </xf>
    <xf numFmtId="0" fontId="17" fillId="11" borderId="11" xfId="0" applyFont="1" applyFill="1" applyBorder="1" applyAlignment="1" applyProtection="1">
      <alignment horizontal="center" vertical="center" wrapText="1"/>
      <protection locked="0"/>
    </xf>
    <xf numFmtId="0" fontId="11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0" fillId="0" borderId="0" xfId="0" applyFont="1" applyBorder="1" applyAlignment="1">
      <alignment vertical="center"/>
    </xf>
    <xf numFmtId="0" fontId="20" fillId="3" borderId="3" xfId="0" applyFont="1" applyFill="1" applyBorder="1" applyAlignment="1">
      <alignment vertical="center"/>
    </xf>
    <xf numFmtId="0" fontId="20" fillId="6" borderId="0" xfId="0" applyFont="1" applyFill="1" applyBorder="1" applyAlignment="1">
      <alignment vertical="center"/>
    </xf>
    <xf numFmtId="0" fontId="20" fillId="4" borderId="0" xfId="0" applyFont="1" applyFill="1" applyBorder="1" applyAlignment="1">
      <alignment vertical="center"/>
    </xf>
    <xf numFmtId="9" fontId="11" fillId="0" borderId="0" xfId="2" applyFont="1" applyFill="1" applyBorder="1" applyAlignment="1" applyProtection="1">
      <alignment horizontal="center" vertical="center"/>
      <protection locked="0"/>
    </xf>
    <xf numFmtId="9" fontId="11" fillId="0" borderId="0" xfId="2" applyNumberFormat="1" applyFont="1" applyFill="1" applyBorder="1" applyAlignment="1" applyProtection="1">
      <alignment horizontal="center" vertical="center"/>
      <protection locked="0"/>
    </xf>
    <xf numFmtId="0" fontId="20" fillId="3" borderId="0" xfId="0" applyFont="1" applyFill="1" applyBorder="1" applyAlignment="1">
      <alignment vertical="center"/>
    </xf>
    <xf numFmtId="0" fontId="11" fillId="4" borderId="0" xfId="0" applyFont="1" applyFill="1" applyAlignment="1">
      <alignment vertical="center"/>
    </xf>
    <xf numFmtId="0" fontId="20" fillId="4" borderId="0" xfId="0" applyFont="1" applyFill="1" applyAlignment="1" applyProtection="1">
      <alignment vertical="center"/>
      <protection locked="0"/>
    </xf>
    <xf numFmtId="17" fontId="17" fillId="4" borderId="0" xfId="0" applyNumberFormat="1" applyFont="1" applyFill="1" applyBorder="1" applyAlignment="1" applyProtection="1">
      <alignment vertical="center"/>
      <protection locked="0"/>
    </xf>
    <xf numFmtId="17" fontId="23" fillId="3" borderId="0" xfId="0" applyNumberFormat="1" applyFont="1" applyFill="1" applyBorder="1" applyAlignment="1" applyProtection="1">
      <alignment vertical="center"/>
      <protection locked="0"/>
    </xf>
    <xf numFmtId="17" fontId="17" fillId="3" borderId="0" xfId="0" applyNumberFormat="1" applyFont="1" applyFill="1" applyBorder="1" applyAlignment="1" applyProtection="1">
      <alignment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vertical="center"/>
      <protection locked="0"/>
    </xf>
    <xf numFmtId="17" fontId="23" fillId="4" borderId="0" xfId="0" applyNumberFormat="1" applyFont="1" applyFill="1" applyBorder="1" applyAlignment="1" applyProtection="1">
      <alignment vertical="center"/>
      <protection locked="0"/>
    </xf>
    <xf numFmtId="0" fontId="14" fillId="4" borderId="0" xfId="0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1" fillId="0" borderId="0" xfId="0" applyFont="1" applyFill="1" applyAlignment="1" applyProtection="1">
      <alignment vertical="center"/>
      <protection locked="0"/>
    </xf>
    <xf numFmtId="10" fontId="11" fillId="3" borderId="0" xfId="2" applyNumberFormat="1" applyFont="1" applyFill="1" applyAlignment="1" applyProtection="1">
      <alignment horizontal="right"/>
      <protection locked="0"/>
    </xf>
    <xf numFmtId="0" fontId="9" fillId="3" borderId="0" xfId="0" applyFont="1" applyFill="1" applyBorder="1" applyAlignment="1" applyProtection="1">
      <alignment vertical="center"/>
      <protection locked="0"/>
    </xf>
    <xf numFmtId="9" fontId="16" fillId="12" borderId="8" xfId="2" applyNumberFormat="1" applyFont="1" applyFill="1" applyBorder="1" applyAlignment="1" applyProtection="1">
      <alignment horizontal="center" vertical="center" wrapText="1"/>
      <protection locked="0"/>
    </xf>
    <xf numFmtId="17" fontId="17" fillId="3" borderId="0" xfId="0" applyNumberFormat="1" applyFont="1" applyFill="1" applyBorder="1" applyAlignment="1" applyProtection="1">
      <alignment horizontal="center" vertical="center"/>
      <protection locked="0"/>
    </xf>
    <xf numFmtId="0" fontId="9" fillId="3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17" fontId="23" fillId="3" borderId="0" xfId="0" applyNumberFormat="1" applyFont="1" applyFill="1" applyBorder="1" applyAlignment="1" applyProtection="1">
      <alignment horizontal="center" vertical="center"/>
      <protection locked="0"/>
    </xf>
    <xf numFmtId="0" fontId="15" fillId="0" borderId="11" xfId="0" applyFont="1" applyFill="1" applyBorder="1" applyAlignment="1" applyProtection="1">
      <alignment horizontal="center" vertical="center"/>
      <protection locked="0"/>
    </xf>
    <xf numFmtId="0" fontId="15" fillId="0" borderId="1" xfId="0" applyFont="1" applyFill="1" applyBorder="1" applyAlignment="1" applyProtection="1">
      <alignment horizontal="center" vertical="center"/>
      <protection locked="0"/>
    </xf>
    <xf numFmtId="0" fontId="10" fillId="0" borderId="14" xfId="0" applyFont="1" applyFill="1" applyBorder="1" applyAlignment="1" applyProtection="1">
      <alignment vertical="center"/>
      <protection locked="0"/>
    </xf>
    <xf numFmtId="164" fontId="11" fillId="0" borderId="14" xfId="1" applyNumberFormat="1" applyFont="1" applyFill="1" applyBorder="1" applyAlignment="1" applyProtection="1">
      <alignment vertical="center"/>
      <protection locked="0"/>
    </xf>
    <xf numFmtId="3" fontId="11" fillId="0" borderId="14" xfId="0" applyNumberFormat="1" applyFont="1" applyFill="1" applyBorder="1" applyAlignment="1" applyProtection="1">
      <alignment vertical="center"/>
      <protection locked="0"/>
    </xf>
    <xf numFmtId="10" fontId="11" fillId="0" borderId="14" xfId="2" applyNumberFormat="1" applyFont="1" applyFill="1" applyBorder="1" applyAlignment="1" applyProtection="1">
      <alignment horizontal="right" vertical="center"/>
      <protection locked="0"/>
    </xf>
    <xf numFmtId="0" fontId="14" fillId="4" borderId="11" xfId="0" applyFont="1" applyFill="1" applyBorder="1" applyAlignment="1" applyProtection="1">
      <alignment vertical="center"/>
      <protection locked="0"/>
    </xf>
    <xf numFmtId="0" fontId="10" fillId="0" borderId="13" xfId="0" applyFont="1" applyFill="1" applyBorder="1" applyAlignment="1" applyProtection="1">
      <alignment vertical="center"/>
      <protection locked="0"/>
    </xf>
    <xf numFmtId="0" fontId="14" fillId="0" borderId="0" xfId="0" applyFont="1" applyFill="1" applyAlignment="1" applyProtection="1">
      <alignment horizontal="center" vertical="center" wrapText="1"/>
      <protection locked="0"/>
    </xf>
    <xf numFmtId="0" fontId="14" fillId="0" borderId="0" xfId="0" applyFont="1" applyFill="1" applyAlignment="1" applyProtection="1">
      <alignment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Alignment="1" applyProtection="1">
      <alignment vertical="center"/>
      <protection locked="0"/>
    </xf>
    <xf numFmtId="0" fontId="17" fillId="0" borderId="0" xfId="0" applyFont="1" applyFill="1" applyBorder="1" applyAlignment="1" applyProtection="1">
      <alignment horizontal="center" vertical="center"/>
      <protection locked="0"/>
    </xf>
    <xf numFmtId="17" fontId="17" fillId="0" borderId="0" xfId="0" applyNumberFormat="1" applyFont="1" applyFill="1" applyBorder="1" applyAlignment="1" applyProtection="1">
      <alignment vertical="center"/>
      <protection locked="0"/>
    </xf>
    <xf numFmtId="0" fontId="17" fillId="0" borderId="0" xfId="0" applyFont="1" applyFill="1" applyBorder="1" applyAlignment="1" applyProtection="1">
      <alignment vertical="center"/>
      <protection locked="0"/>
    </xf>
    <xf numFmtId="0" fontId="14" fillId="0" borderId="0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 applyProtection="1">
      <alignment horizontal="center" vertical="center"/>
      <protection locked="0"/>
    </xf>
    <xf numFmtId="0" fontId="20" fillId="4" borderId="0" xfId="0" applyFont="1" applyFill="1" applyAlignment="1" applyProtection="1">
      <alignment horizontal="center" vertical="center"/>
      <protection locked="0"/>
    </xf>
    <xf numFmtId="0" fontId="17" fillId="8" borderId="0" xfId="0" applyFont="1" applyFill="1" applyBorder="1" applyAlignment="1" applyProtection="1">
      <alignment horizontal="center" vertical="center" wrapText="1"/>
      <protection locked="0"/>
    </xf>
    <xf numFmtId="0" fontId="17" fillId="9" borderId="0" xfId="0" applyFont="1" applyFill="1" applyBorder="1" applyAlignment="1" applyProtection="1">
      <alignment horizontal="center" vertical="center" wrapText="1"/>
      <protection locked="0"/>
    </xf>
    <xf numFmtId="0" fontId="17" fillId="8" borderId="0" xfId="0" applyFont="1" applyFill="1" applyBorder="1" applyAlignment="1" applyProtection="1">
      <alignment horizontal="center" vertical="center"/>
      <protection locked="0"/>
    </xf>
    <xf numFmtId="0" fontId="20" fillId="8" borderId="0" xfId="0" applyFont="1" applyFill="1" applyBorder="1" applyAlignment="1" applyProtection="1">
      <alignment horizontal="center" vertical="center"/>
      <protection locked="0"/>
    </xf>
    <xf numFmtId="0" fontId="17" fillId="11" borderId="0" xfId="0" applyFont="1" applyFill="1" applyBorder="1" applyAlignment="1" applyProtection="1">
      <alignment horizontal="center" vertical="center" wrapText="1"/>
      <protection locked="0"/>
    </xf>
    <xf numFmtId="0" fontId="22" fillId="8" borderId="0" xfId="0" applyFont="1" applyFill="1" applyBorder="1" applyAlignment="1" applyProtection="1">
      <alignment horizontal="center" vertical="center"/>
      <protection locked="0"/>
    </xf>
    <xf numFmtId="0" fontId="24" fillId="8" borderId="0" xfId="0" applyFont="1" applyFill="1" applyBorder="1" applyAlignment="1" applyProtection="1">
      <alignment horizontal="center" vertical="center"/>
      <protection locked="0"/>
    </xf>
    <xf numFmtId="0" fontId="14" fillId="4" borderId="1" xfId="0" applyFont="1" applyFill="1" applyBorder="1" applyAlignment="1" applyProtection="1">
      <alignment vertical="center"/>
      <protection locked="0"/>
    </xf>
    <xf numFmtId="0" fontId="14" fillId="4" borderId="14" xfId="0" applyFont="1" applyFill="1" applyBorder="1" applyAlignment="1" applyProtection="1">
      <alignment vertical="center"/>
      <protection locked="0"/>
    </xf>
    <xf numFmtId="0" fontId="17" fillId="9" borderId="14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>
      <alignment horizontal="center" vertical="center"/>
    </xf>
    <xf numFmtId="0" fontId="17" fillId="11" borderId="14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 applyProtection="1">
      <alignment horizontal="center" vertical="center"/>
      <protection locked="0" hidden="1"/>
    </xf>
    <xf numFmtId="0" fontId="15" fillId="0" borderId="12" xfId="0" applyFont="1" applyFill="1" applyBorder="1" applyAlignment="1" applyProtection="1">
      <alignment horizontal="center" vertical="center" wrapText="1"/>
      <protection locked="0"/>
    </xf>
    <xf numFmtId="0" fontId="19" fillId="10" borderId="0" xfId="0" applyFont="1" applyFill="1" applyBorder="1" applyAlignment="1">
      <alignment vertical="center" wrapText="1"/>
    </xf>
    <xf numFmtId="0" fontId="19" fillId="7" borderId="0" xfId="0" applyFont="1" applyFill="1" applyBorder="1" applyAlignment="1">
      <alignment vertical="center" wrapText="1"/>
    </xf>
    <xf numFmtId="0" fontId="19" fillId="10" borderId="13" xfId="0" applyFont="1" applyFill="1" applyBorder="1" applyAlignment="1">
      <alignment vertical="center" wrapText="1"/>
    </xf>
    <xf numFmtId="0" fontId="19" fillId="10" borderId="14" xfId="0" applyFont="1" applyFill="1" applyBorder="1" applyAlignment="1">
      <alignment vertical="center" wrapText="1"/>
    </xf>
    <xf numFmtId="0" fontId="19" fillId="7" borderId="14" xfId="0" applyFont="1" applyFill="1" applyBorder="1" applyAlignment="1">
      <alignment vertical="center" wrapText="1"/>
    </xf>
    <xf numFmtId="0" fontId="15" fillId="10" borderId="13" xfId="0" applyFont="1" applyFill="1" applyBorder="1" applyAlignment="1">
      <alignment vertical="center" wrapText="1"/>
    </xf>
    <xf numFmtId="0" fontId="15" fillId="10" borderId="14" xfId="0" applyFont="1" applyFill="1" applyBorder="1" applyAlignment="1">
      <alignment vertical="center" wrapText="1"/>
    </xf>
    <xf numFmtId="0" fontId="15" fillId="7" borderId="14" xfId="0" applyFont="1" applyFill="1" applyBorder="1" applyAlignment="1">
      <alignment vertical="center" wrapText="1"/>
    </xf>
    <xf numFmtId="0" fontId="15" fillId="10" borderId="0" xfId="0" applyFont="1" applyFill="1" applyBorder="1" applyAlignment="1">
      <alignment vertical="center" wrapText="1"/>
    </xf>
    <xf numFmtId="0" fontId="15" fillId="7" borderId="0" xfId="0" applyFont="1" applyFill="1" applyBorder="1" applyAlignment="1">
      <alignment vertical="center" wrapText="1"/>
    </xf>
    <xf numFmtId="0" fontId="17" fillId="9" borderId="1" xfId="0" applyFont="1" applyFill="1" applyBorder="1" applyAlignment="1" applyProtection="1">
      <alignment horizontal="center" vertical="center" wrapText="1"/>
      <protection locked="0"/>
    </xf>
    <xf numFmtId="0" fontId="17" fillId="8" borderId="18" xfId="0" applyFont="1" applyFill="1" applyBorder="1" applyAlignment="1" applyProtection="1">
      <alignment horizontal="center" vertical="center" wrapText="1"/>
      <protection locked="0"/>
    </xf>
    <xf numFmtId="10" fontId="11" fillId="0" borderId="18" xfId="2" applyNumberFormat="1" applyFont="1" applyFill="1" applyBorder="1" applyAlignment="1" applyProtection="1">
      <alignment horizontal="center" vertical="center"/>
      <protection locked="0"/>
    </xf>
    <xf numFmtId="0" fontId="14" fillId="4" borderId="18" xfId="0" applyFont="1" applyFill="1" applyBorder="1" applyAlignment="1" applyProtection="1">
      <alignment vertical="center"/>
      <protection locked="0"/>
    </xf>
    <xf numFmtId="17" fontId="17" fillId="0" borderId="0" xfId="0" applyNumberFormat="1" applyFont="1" applyFill="1" applyBorder="1" applyAlignment="1" applyProtection="1">
      <alignment horizontal="center" vertical="center"/>
      <protection locked="0"/>
    </xf>
    <xf numFmtId="0" fontId="25" fillId="3" borderId="0" xfId="0" applyFont="1" applyFill="1" applyProtection="1">
      <protection locked="0"/>
    </xf>
    <xf numFmtId="0" fontId="25" fillId="3" borderId="0" xfId="0" applyFont="1" applyFill="1" applyAlignment="1" applyProtection="1">
      <protection locked="0"/>
    </xf>
    <xf numFmtId="0" fontId="25" fillId="4" borderId="0" xfId="0" applyFont="1" applyFill="1" applyAlignment="1" applyProtection="1">
      <protection locked="0"/>
    </xf>
    <xf numFmtId="0" fontId="26" fillId="4" borderId="0" xfId="0" applyFont="1" applyFill="1" applyAlignment="1" applyProtection="1">
      <alignment horizontal="center" vertical="center" wrapText="1"/>
      <protection locked="0"/>
    </xf>
    <xf numFmtId="0" fontId="25" fillId="3" borderId="0" xfId="0" applyFont="1" applyFill="1" applyAlignment="1" applyProtection="1">
      <alignment horizontal="right"/>
      <protection locked="0"/>
    </xf>
    <xf numFmtId="1" fontId="25" fillId="3" borderId="0" xfId="0" applyNumberFormat="1" applyFont="1" applyFill="1" applyProtection="1">
      <protection locked="0"/>
    </xf>
    <xf numFmtId="0" fontId="26" fillId="4" borderId="0" xfId="0" applyFont="1" applyFill="1" applyAlignment="1" applyProtection="1">
      <alignment vertical="center"/>
      <protection locked="0"/>
    </xf>
    <xf numFmtId="0" fontId="27" fillId="10" borderId="6" xfId="0" applyFont="1" applyFill="1" applyBorder="1" applyAlignment="1" applyProtection="1">
      <alignment horizontal="center" vertical="center"/>
      <protection locked="0"/>
    </xf>
    <xf numFmtId="0" fontId="25" fillId="3" borderId="0" xfId="0" applyFont="1" applyFill="1" applyAlignment="1" applyProtection="1">
      <alignment vertical="center"/>
      <protection locked="0"/>
    </xf>
    <xf numFmtId="9" fontId="28" fillId="5" borderId="7" xfId="3" applyNumberFormat="1" applyFont="1" applyFill="1" applyBorder="1" applyAlignment="1" applyProtection="1">
      <alignment horizontal="center"/>
      <protection locked="0"/>
    </xf>
    <xf numFmtId="9" fontId="28" fillId="12" borderId="8" xfId="2" applyNumberFormat="1" applyFont="1" applyFill="1" applyBorder="1" applyAlignment="1" applyProtection="1">
      <alignment horizontal="center" vertical="center" wrapText="1"/>
      <protection locked="0"/>
    </xf>
    <xf numFmtId="0" fontId="25" fillId="3" borderId="0" xfId="0" applyFont="1" applyFill="1" applyBorder="1" applyProtection="1">
      <protection locked="0"/>
    </xf>
    <xf numFmtId="9" fontId="25" fillId="3" borderId="0" xfId="0" applyNumberFormat="1" applyFont="1" applyFill="1" applyBorder="1" applyProtection="1">
      <protection locked="0"/>
    </xf>
    <xf numFmtId="0" fontId="25" fillId="3" borderId="0" xfId="0" applyFont="1" applyFill="1" applyBorder="1" applyAlignment="1" applyProtection="1">
      <alignment vertical="center"/>
      <protection locked="0"/>
    </xf>
    <xf numFmtId="0" fontId="30" fillId="4" borderId="10" xfId="0" applyFont="1" applyFill="1" applyBorder="1" applyAlignment="1" applyProtection="1">
      <alignment vertical="center"/>
      <protection locked="0"/>
    </xf>
    <xf numFmtId="0" fontId="30" fillId="4" borderId="0" xfId="0" applyFont="1" applyFill="1" applyAlignment="1" applyProtection="1">
      <alignment vertical="center"/>
      <protection locked="0"/>
    </xf>
    <xf numFmtId="0" fontId="26" fillId="4" borderId="11" xfId="0" applyFont="1" applyFill="1" applyBorder="1" applyAlignment="1" applyProtection="1">
      <alignment vertical="center"/>
      <protection locked="0"/>
    </xf>
    <xf numFmtId="0" fontId="27" fillId="0" borderId="12" xfId="0" applyFont="1" applyFill="1" applyBorder="1" applyAlignment="1" applyProtection="1">
      <alignment horizontal="center" vertical="center" wrapText="1"/>
      <protection locked="0"/>
    </xf>
    <xf numFmtId="0" fontId="27" fillId="0" borderId="1" xfId="0" applyFont="1" applyFill="1" applyBorder="1" applyAlignment="1" applyProtection="1">
      <alignment horizontal="center" vertical="center" wrapText="1"/>
      <protection locked="0"/>
    </xf>
    <xf numFmtId="1" fontId="25" fillId="3" borderId="0" xfId="0" applyNumberFormat="1" applyFont="1" applyFill="1" applyAlignment="1" applyProtection="1">
      <alignment vertical="center"/>
      <protection locked="0"/>
    </xf>
    <xf numFmtId="0" fontId="26" fillId="4" borderId="0" xfId="0" applyFont="1" applyFill="1" applyBorder="1" applyAlignment="1" applyProtection="1">
      <alignment vertical="center"/>
      <protection locked="0"/>
    </xf>
    <xf numFmtId="0" fontId="30" fillId="4" borderId="0" xfId="0" applyFont="1" applyFill="1" applyBorder="1" applyAlignment="1" applyProtection="1">
      <alignment vertical="center"/>
      <protection locked="0"/>
    </xf>
    <xf numFmtId="0" fontId="30" fillId="4" borderId="3" xfId="0" applyFont="1" applyFill="1" applyBorder="1" applyAlignment="1" applyProtection="1">
      <alignment vertical="center"/>
      <protection locked="0"/>
    </xf>
    <xf numFmtId="0" fontId="26" fillId="4" borderId="1" xfId="0" applyFont="1" applyFill="1" applyBorder="1" applyAlignment="1" applyProtection="1">
      <alignment vertical="center"/>
      <protection locked="0"/>
    </xf>
    <xf numFmtId="0" fontId="30" fillId="9" borderId="1" xfId="0" applyFont="1" applyFill="1" applyBorder="1" applyAlignment="1" applyProtection="1">
      <alignment horizontal="center" vertical="center" wrapText="1"/>
      <protection locked="0"/>
    </xf>
    <xf numFmtId="0" fontId="25" fillId="0" borderId="1" xfId="0" applyFont="1" applyFill="1" applyBorder="1" applyAlignment="1" applyProtection="1">
      <alignment horizontal="center" vertical="center"/>
      <protection locked="0"/>
    </xf>
    <xf numFmtId="9" fontId="25" fillId="0" borderId="1" xfId="0" applyNumberFormat="1" applyFont="1" applyFill="1" applyBorder="1" applyAlignment="1" applyProtection="1">
      <alignment horizontal="center" vertical="center"/>
      <protection locked="0"/>
    </xf>
    <xf numFmtId="0" fontId="26" fillId="4" borderId="18" xfId="0" applyFont="1" applyFill="1" applyBorder="1" applyAlignment="1" applyProtection="1">
      <alignment vertical="center"/>
      <protection locked="0"/>
    </xf>
    <xf numFmtId="0" fontId="30" fillId="8" borderId="18" xfId="0" applyFont="1" applyFill="1" applyBorder="1" applyAlignment="1" applyProtection="1">
      <alignment horizontal="center" vertical="center" wrapText="1"/>
      <protection locked="0"/>
    </xf>
    <xf numFmtId="10" fontId="25" fillId="0" borderId="18" xfId="0" applyNumberFormat="1" applyFont="1" applyFill="1" applyBorder="1" applyAlignment="1" applyProtection="1">
      <alignment horizontal="center" vertical="center"/>
      <protection locked="0"/>
    </xf>
    <xf numFmtId="9" fontId="25" fillId="0" borderId="18" xfId="0" applyNumberFormat="1" applyFont="1" applyFill="1" applyBorder="1" applyAlignment="1" applyProtection="1">
      <alignment horizontal="center" vertical="center"/>
      <protection locked="0" hidden="1"/>
    </xf>
    <xf numFmtId="10" fontId="25" fillId="0" borderId="18" xfId="0" applyNumberFormat="1" applyFont="1" applyFill="1" applyBorder="1" applyAlignment="1" applyProtection="1">
      <alignment horizontal="center" vertical="center"/>
      <protection locked="0" hidden="1"/>
    </xf>
    <xf numFmtId="10" fontId="28" fillId="0" borderId="18" xfId="0" applyNumberFormat="1" applyFont="1" applyFill="1" applyBorder="1" applyAlignment="1" applyProtection="1">
      <alignment horizontal="center" vertical="center"/>
      <protection locked="0"/>
    </xf>
    <xf numFmtId="10" fontId="28" fillId="0" borderId="18" xfId="0" applyNumberFormat="1" applyFont="1" applyFill="1" applyBorder="1" applyAlignment="1" applyProtection="1">
      <alignment horizontal="center" vertical="center"/>
      <protection locked="0" hidden="1"/>
    </xf>
    <xf numFmtId="17" fontId="30" fillId="4" borderId="10" xfId="0" applyNumberFormat="1" applyFont="1" applyFill="1" applyBorder="1" applyAlignment="1" applyProtection="1">
      <alignment vertical="center"/>
      <protection locked="0"/>
    </xf>
    <xf numFmtId="0" fontId="32" fillId="10" borderId="13" xfId="0" applyFont="1" applyFill="1" applyBorder="1" applyAlignment="1">
      <alignment vertical="center" wrapText="1"/>
    </xf>
    <xf numFmtId="0" fontId="27" fillId="10" borderId="14" xfId="0" applyFont="1" applyFill="1" applyBorder="1" applyAlignment="1">
      <alignment vertical="center" wrapText="1"/>
    </xf>
    <xf numFmtId="0" fontId="26" fillId="4" borderId="14" xfId="0" applyFont="1" applyFill="1" applyBorder="1" applyAlignment="1" applyProtection="1">
      <alignment vertical="center"/>
      <protection locked="0"/>
    </xf>
    <xf numFmtId="0" fontId="30" fillId="9" borderId="14" xfId="0" applyFont="1" applyFill="1" applyBorder="1" applyAlignment="1" applyProtection="1">
      <alignment horizontal="center" vertical="center" wrapText="1"/>
      <protection locked="0"/>
    </xf>
    <xf numFmtId="10" fontId="25" fillId="0" borderId="14" xfId="2" applyNumberFormat="1" applyFont="1" applyFill="1" applyBorder="1" applyAlignment="1" applyProtection="1">
      <alignment horizontal="center" vertical="center"/>
      <protection locked="0"/>
    </xf>
    <xf numFmtId="10" fontId="25" fillId="0" borderId="14" xfId="2" applyNumberFormat="1" applyFont="1" applyFill="1" applyBorder="1" applyAlignment="1">
      <alignment horizontal="center" vertical="center"/>
    </xf>
    <xf numFmtId="0" fontId="32" fillId="10" borderId="0" xfId="0" applyFont="1" applyFill="1" applyBorder="1" applyAlignment="1">
      <alignment vertical="center" wrapText="1"/>
    </xf>
    <xf numFmtId="0" fontId="30" fillId="8" borderId="0" xfId="0" applyFont="1" applyFill="1" applyBorder="1" applyAlignment="1" applyProtection="1">
      <alignment horizontal="center" vertical="center" wrapText="1"/>
      <protection locked="0"/>
    </xf>
    <xf numFmtId="1" fontId="25" fillId="0" borderId="0" xfId="2" applyNumberFormat="1" applyFont="1" applyFill="1" applyBorder="1" applyAlignment="1" applyProtection="1">
      <alignment horizontal="center" vertical="center"/>
      <protection locked="0"/>
    </xf>
    <xf numFmtId="10" fontId="25" fillId="0" borderId="0" xfId="2" applyNumberFormat="1" applyFont="1" applyFill="1" applyBorder="1" applyAlignment="1" applyProtection="1">
      <alignment horizontal="center" vertical="center"/>
      <protection locked="0"/>
    </xf>
    <xf numFmtId="0" fontId="26" fillId="6" borderId="0" xfId="0" applyFont="1" applyFill="1" applyBorder="1" applyAlignment="1" applyProtection="1">
      <alignment vertical="center"/>
      <protection locked="0"/>
    </xf>
    <xf numFmtId="0" fontId="30" fillId="6" borderId="0" xfId="0" applyFont="1" applyFill="1" applyBorder="1" applyAlignment="1" applyProtection="1">
      <alignment vertical="center"/>
      <protection locked="0"/>
    </xf>
    <xf numFmtId="0" fontId="30" fillId="6" borderId="3" xfId="0" applyFont="1" applyFill="1" applyBorder="1" applyAlignment="1" applyProtection="1">
      <alignment vertical="center"/>
      <protection locked="0"/>
    </xf>
    <xf numFmtId="0" fontId="30" fillId="9" borderId="0" xfId="0" applyFont="1" applyFill="1" applyBorder="1" applyAlignment="1" applyProtection="1">
      <alignment horizontal="center" vertical="center" wrapText="1"/>
      <protection locked="0"/>
    </xf>
    <xf numFmtId="9" fontId="25" fillId="0" borderId="0" xfId="2" applyFont="1" applyFill="1" applyBorder="1" applyAlignment="1" applyProtection="1">
      <alignment horizontal="center" vertical="center"/>
      <protection locked="0"/>
    </xf>
    <xf numFmtId="9" fontId="25" fillId="0" borderId="0" xfId="2" applyNumberFormat="1" applyFont="1" applyFill="1" applyBorder="1" applyAlignment="1" applyProtection="1">
      <alignment horizontal="center" vertical="center"/>
      <protection locked="0"/>
    </xf>
    <xf numFmtId="0" fontId="30" fillId="3" borderId="0" xfId="0" applyFont="1" applyFill="1" applyBorder="1" applyAlignment="1" applyProtection="1">
      <alignment horizontal="center" vertical="center"/>
      <protection locked="0"/>
    </xf>
    <xf numFmtId="0" fontId="30" fillId="3" borderId="3" xfId="0" applyFont="1" applyFill="1" applyBorder="1" applyAlignment="1" applyProtection="1">
      <alignment horizontal="center" vertical="center"/>
      <protection locked="0"/>
    </xf>
    <xf numFmtId="0" fontId="30" fillId="4" borderId="10" xfId="0" applyFont="1" applyFill="1" applyBorder="1" applyAlignment="1" applyProtection="1">
      <alignment horizontal="center" vertical="center"/>
      <protection locked="0"/>
    </xf>
    <xf numFmtId="0" fontId="30" fillId="8" borderId="0" xfId="0" applyFont="1" applyFill="1" applyBorder="1" applyAlignment="1" applyProtection="1">
      <alignment horizontal="center" vertical="center"/>
      <protection locked="0"/>
    </xf>
    <xf numFmtId="0" fontId="33" fillId="8" borderId="0" xfId="0" applyFont="1" applyFill="1" applyBorder="1" applyAlignment="1" applyProtection="1">
      <alignment horizontal="center" vertical="center"/>
      <protection locked="0"/>
    </xf>
    <xf numFmtId="0" fontId="25" fillId="0" borderId="0" xfId="0" applyFont="1" applyFill="1" applyBorder="1" applyAlignment="1" applyProtection="1">
      <alignment vertical="center"/>
      <protection locked="0"/>
    </xf>
    <xf numFmtId="0" fontId="25" fillId="4" borderId="0" xfId="0" applyFont="1" applyFill="1" applyBorder="1" applyAlignment="1" applyProtection="1">
      <alignment vertical="center"/>
      <protection locked="0"/>
    </xf>
    <xf numFmtId="0" fontId="25" fillId="3" borderId="0" xfId="0" applyFont="1" applyFill="1" applyAlignment="1" applyProtection="1">
      <alignment horizontal="center" vertical="center"/>
      <protection locked="0"/>
    </xf>
    <xf numFmtId="0" fontId="25" fillId="3" borderId="0" xfId="0" applyFont="1" applyFill="1" applyBorder="1" applyAlignment="1" applyProtection="1">
      <alignment horizontal="center" vertical="center"/>
      <protection locked="0"/>
    </xf>
    <xf numFmtId="0" fontId="27" fillId="0" borderId="0" xfId="0" applyFont="1" applyFill="1" applyBorder="1" applyAlignment="1" applyProtection="1">
      <alignment horizontal="center" vertical="center"/>
      <protection locked="0"/>
    </xf>
    <xf numFmtId="0" fontId="27" fillId="0" borderId="11" xfId="0" applyFont="1" applyFill="1" applyBorder="1" applyAlignment="1" applyProtection="1">
      <alignment horizontal="center" vertical="center"/>
      <protection locked="0"/>
    </xf>
    <xf numFmtId="0" fontId="27" fillId="0" borderId="1" xfId="0" applyFont="1" applyFill="1" applyBorder="1" applyAlignment="1" applyProtection="1">
      <alignment horizontal="center" vertical="center"/>
      <protection locked="0"/>
    </xf>
    <xf numFmtId="0" fontId="27" fillId="0" borderId="4" xfId="0" applyFont="1" applyFill="1" applyBorder="1" applyAlignment="1" applyProtection="1">
      <alignment horizontal="center" vertical="center"/>
      <protection locked="0"/>
    </xf>
    <xf numFmtId="0" fontId="27" fillId="0" borderId="4" xfId="0" applyFont="1" applyFill="1" applyBorder="1" applyAlignment="1" applyProtection="1">
      <alignment horizontal="center" vertical="center" wrapText="1"/>
      <protection locked="0"/>
    </xf>
    <xf numFmtId="0" fontId="34" fillId="0" borderId="0" xfId="0" quotePrefix="1" applyFont="1" applyFill="1" applyBorder="1" applyAlignment="1" applyProtection="1">
      <alignment horizontal="center" vertical="center" wrapText="1"/>
      <protection locked="0"/>
    </xf>
    <xf numFmtId="0" fontId="34" fillId="0" borderId="13" xfId="0" applyFont="1" applyFill="1" applyBorder="1" applyAlignment="1" applyProtection="1">
      <alignment horizontal="left" vertical="center"/>
      <protection locked="0"/>
    </xf>
    <xf numFmtId="0" fontId="34" fillId="0" borderId="14" xfId="0" applyFont="1" applyFill="1" applyBorder="1" applyAlignment="1" applyProtection="1">
      <alignment vertical="center"/>
      <protection locked="0"/>
    </xf>
    <xf numFmtId="164" fontId="25" fillId="0" borderId="14" xfId="1" applyNumberFormat="1" applyFont="1" applyFill="1" applyBorder="1" applyAlignment="1" applyProtection="1">
      <alignment vertical="center"/>
      <protection locked="0"/>
    </xf>
    <xf numFmtId="3" fontId="25" fillId="0" borderId="14" xfId="0" applyNumberFormat="1" applyFont="1" applyFill="1" applyBorder="1" applyAlignment="1" applyProtection="1">
      <alignment vertical="center"/>
      <protection locked="0"/>
    </xf>
    <xf numFmtId="10" fontId="25" fillId="0" borderId="14" xfId="2" applyNumberFormat="1" applyFont="1" applyFill="1" applyBorder="1" applyAlignment="1" applyProtection="1">
      <alignment horizontal="right" vertical="center"/>
      <protection locked="0"/>
    </xf>
    <xf numFmtId="0" fontId="35" fillId="3" borderId="0" xfId="0" applyFont="1" applyFill="1" applyAlignment="1" applyProtection="1">
      <protection locked="0"/>
    </xf>
    <xf numFmtId="0" fontId="34" fillId="3" borderId="0" xfId="0" applyFont="1" applyFill="1" applyAlignment="1" applyProtection="1">
      <protection locked="0"/>
    </xf>
    <xf numFmtId="10" fontId="25" fillId="0" borderId="18" xfId="2" applyNumberFormat="1" applyFont="1" applyFill="1" applyBorder="1" applyAlignment="1" applyProtection="1">
      <alignment horizontal="center" vertical="center"/>
      <protection locked="0"/>
    </xf>
    <xf numFmtId="10" fontId="11" fillId="3" borderId="0" xfId="2" applyNumberFormat="1" applyFont="1" applyFill="1" applyProtection="1">
      <protection locked="0"/>
    </xf>
    <xf numFmtId="10" fontId="11" fillId="3" borderId="0" xfId="2" applyNumberFormat="1" applyFont="1" applyFill="1" applyAlignment="1" applyProtection="1">
      <protection locked="0"/>
    </xf>
    <xf numFmtId="17" fontId="30" fillId="3" borderId="0" xfId="0" applyNumberFormat="1" applyFont="1" applyFill="1" applyBorder="1" applyAlignment="1" applyProtection="1">
      <alignment horizontal="center" vertical="center"/>
      <protection locked="0"/>
    </xf>
    <xf numFmtId="17" fontId="30" fillId="3" borderId="3" xfId="0" applyNumberFormat="1" applyFont="1" applyFill="1" applyBorder="1" applyAlignment="1" applyProtection="1">
      <alignment horizontal="center" vertical="center"/>
      <protection locked="0"/>
    </xf>
    <xf numFmtId="0" fontId="32" fillId="10" borderId="0" xfId="0" applyFont="1" applyFill="1" applyBorder="1" applyAlignment="1">
      <alignment horizontal="center" vertical="center" wrapText="1"/>
    </xf>
    <xf numFmtId="0" fontId="27" fillId="10" borderId="15" xfId="0" applyFont="1" applyFill="1" applyBorder="1" applyAlignment="1">
      <alignment horizontal="center" vertical="center" wrapText="1"/>
    </xf>
    <xf numFmtId="0" fontId="27" fillId="10" borderId="16" xfId="0" applyFont="1" applyFill="1" applyBorder="1" applyAlignment="1">
      <alignment horizontal="center" vertical="center" wrapText="1"/>
    </xf>
    <xf numFmtId="0" fontId="31" fillId="10" borderId="11" xfId="0" applyFont="1" applyFill="1" applyBorder="1" applyAlignment="1">
      <alignment horizontal="center" vertical="center" wrapText="1"/>
    </xf>
    <xf numFmtId="0" fontId="31" fillId="10" borderId="1" xfId="0" applyFont="1" applyFill="1" applyBorder="1" applyAlignment="1">
      <alignment horizontal="center" vertical="center" wrapText="1"/>
    </xf>
    <xf numFmtId="0" fontId="32" fillId="10" borderId="17" xfId="0" applyFont="1" applyFill="1" applyBorder="1" applyAlignment="1">
      <alignment horizontal="center" vertical="center" wrapText="1"/>
    </xf>
    <xf numFmtId="0" fontId="32" fillId="10" borderId="18" xfId="0" applyFont="1" applyFill="1" applyBorder="1" applyAlignment="1">
      <alignment horizontal="center" vertical="center" wrapText="1"/>
    </xf>
    <xf numFmtId="0" fontId="29" fillId="3" borderId="0" xfId="0" applyFont="1" applyFill="1" applyBorder="1" applyAlignment="1" applyProtection="1">
      <alignment horizontal="center" vertical="center"/>
      <protection locked="0"/>
    </xf>
    <xf numFmtId="0" fontId="29" fillId="3" borderId="3" xfId="0" applyFont="1" applyFill="1" applyBorder="1" applyAlignment="1" applyProtection="1">
      <alignment horizontal="center" vertical="center"/>
      <protection locked="0"/>
    </xf>
    <xf numFmtId="0" fontId="30" fillId="3" borderId="0" xfId="0" applyFont="1" applyFill="1" applyBorder="1" applyAlignment="1" applyProtection="1">
      <alignment horizontal="center" vertical="center"/>
      <protection locked="0"/>
    </xf>
    <xf numFmtId="0" fontId="30" fillId="3" borderId="3" xfId="0" applyFont="1" applyFill="1" applyBorder="1" applyAlignment="1" applyProtection="1">
      <alignment horizontal="center" vertical="center"/>
      <protection locked="0"/>
    </xf>
    <xf numFmtId="0" fontId="15" fillId="10" borderId="15" xfId="0" applyFont="1" applyFill="1" applyBorder="1" applyAlignment="1">
      <alignment horizontal="center" vertical="center" wrapText="1"/>
    </xf>
    <xf numFmtId="0" fontId="15" fillId="10" borderId="16" xfId="0" applyFont="1" applyFill="1" applyBorder="1" applyAlignment="1">
      <alignment horizontal="center" vertical="center" wrapText="1"/>
    </xf>
    <xf numFmtId="0" fontId="14" fillId="6" borderId="0" xfId="0" applyFont="1" applyFill="1" applyAlignment="1" applyProtection="1">
      <alignment horizontal="center" vertical="center"/>
      <protection locked="0"/>
    </xf>
    <xf numFmtId="0" fontId="17" fillId="6" borderId="0" xfId="0" applyFont="1" applyFill="1" applyAlignment="1" applyProtection="1">
      <alignment horizontal="center" vertical="center"/>
      <protection locked="0"/>
    </xf>
    <xf numFmtId="0" fontId="17" fillId="6" borderId="3" xfId="0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Alignment="1" applyProtection="1">
      <alignment horizontal="center" vertical="center"/>
      <protection locked="0"/>
    </xf>
    <xf numFmtId="0" fontId="17" fillId="4" borderId="0" xfId="0" applyFont="1" applyFill="1" applyAlignment="1" applyProtection="1">
      <alignment horizontal="center" vertical="center"/>
      <protection locked="0"/>
    </xf>
    <xf numFmtId="0" fontId="17" fillId="4" borderId="3" xfId="0" applyFont="1" applyFill="1" applyBorder="1" applyAlignment="1" applyProtection="1">
      <alignment horizontal="center" vertical="center"/>
      <protection locked="0"/>
    </xf>
    <xf numFmtId="0" fontId="19" fillId="10" borderId="0" xfId="0" applyFont="1" applyFill="1" applyBorder="1" applyAlignment="1">
      <alignment horizontal="center" vertical="center" wrapText="1"/>
    </xf>
    <xf numFmtId="0" fontId="18" fillId="10" borderId="11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 wrapText="1"/>
    </xf>
    <xf numFmtId="0" fontId="19" fillId="10" borderId="17" xfId="0" applyFont="1" applyFill="1" applyBorder="1" applyAlignment="1">
      <alignment horizontal="center" vertical="center" wrapText="1"/>
    </xf>
    <xf numFmtId="0" fontId="19" fillId="10" borderId="18" xfId="0" applyFont="1" applyFill="1" applyBorder="1" applyAlignment="1">
      <alignment horizontal="center" vertical="center" wrapText="1"/>
    </xf>
    <xf numFmtId="17" fontId="17" fillId="3" borderId="0" xfId="0" applyNumberFormat="1" applyFont="1" applyFill="1" applyBorder="1" applyAlignment="1" applyProtection="1">
      <alignment horizontal="center" vertical="center"/>
      <protection locked="0"/>
    </xf>
    <xf numFmtId="0" fontId="9" fillId="3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Border="1" applyAlignment="1" applyProtection="1">
      <alignment horizontal="center"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0" fontId="14" fillId="6" borderId="0" xfId="0" applyFont="1" applyFill="1" applyBorder="1" applyAlignment="1" applyProtection="1">
      <alignment horizontal="center" vertical="center"/>
      <protection locked="0"/>
    </xf>
    <xf numFmtId="0" fontId="17" fillId="6" borderId="0" xfId="0" applyFont="1" applyFill="1" applyBorder="1" applyAlignment="1" applyProtection="1">
      <alignment horizontal="center" vertical="center"/>
      <protection locked="0"/>
    </xf>
    <xf numFmtId="0" fontId="15" fillId="10" borderId="17" xfId="0" applyFont="1" applyFill="1" applyBorder="1" applyAlignment="1">
      <alignment horizontal="center" vertical="center" wrapText="1"/>
    </xf>
    <xf numFmtId="0" fontId="15" fillId="10" borderId="18" xfId="0" applyFont="1" applyFill="1" applyBorder="1" applyAlignment="1">
      <alignment horizontal="center" vertical="center" wrapText="1"/>
    </xf>
    <xf numFmtId="0" fontId="15" fillId="10" borderId="0" xfId="0" applyFont="1" applyFill="1" applyBorder="1" applyAlignment="1">
      <alignment horizontal="center" vertical="center" wrapText="1"/>
    </xf>
    <xf numFmtId="0" fontId="15" fillId="10" borderId="9" xfId="0" applyFont="1" applyFill="1" applyBorder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5" fillId="10" borderId="1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 wrapText="1"/>
    </xf>
    <xf numFmtId="0" fontId="15" fillId="7" borderId="18" xfId="0" applyFont="1" applyFill="1" applyBorder="1" applyAlignment="1">
      <alignment horizontal="center" vertical="center" wrapText="1"/>
    </xf>
    <xf numFmtId="0" fontId="15" fillId="7" borderId="0" xfId="0" applyFont="1" applyFill="1" applyBorder="1" applyAlignment="1">
      <alignment horizontal="center" vertical="center" wrapText="1"/>
    </xf>
    <xf numFmtId="0" fontId="19" fillId="10" borderId="1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19" fillId="10" borderId="9" xfId="0" applyFont="1" applyFill="1" applyBorder="1" applyAlignment="1">
      <alignment horizontal="center" vertical="center" wrapText="1"/>
    </xf>
    <xf numFmtId="0" fontId="19" fillId="10" borderId="4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7" borderId="0" xfId="0" applyFont="1" applyFill="1" applyBorder="1" applyAlignment="1">
      <alignment horizontal="center" vertical="center" wrapText="1"/>
    </xf>
    <xf numFmtId="0" fontId="19" fillId="7" borderId="18" xfId="0" applyFont="1" applyFill="1" applyBorder="1" applyAlignment="1">
      <alignment horizontal="center" vertical="center" wrapText="1"/>
    </xf>
    <xf numFmtId="0" fontId="19" fillId="10" borderId="10" xfId="0" applyFont="1" applyFill="1" applyBorder="1" applyAlignment="1">
      <alignment horizontal="center" vertical="center" wrapText="1"/>
    </xf>
    <xf numFmtId="0" fontId="12" fillId="11" borderId="9" xfId="0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 vertical="center"/>
    </xf>
  </cellXfs>
  <cellStyles count="16">
    <cellStyle name="Comma" xfId="1" builtinId="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eutral" xfId="3" builtinId="28"/>
    <cellStyle name="Normal" xfId="0" builtinId="0"/>
    <cellStyle name="Percent" xfId="2" builtinId="5"/>
  </cellStyles>
  <dxfs count="565"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.5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  <dxf>
      <fill>
        <patternFill patternType="solid">
          <fgColor indexed="64"/>
          <bgColor theme="0" tint="-4.9989318521683403E-2"/>
        </patternFill>
      </fill>
    </dxf>
    <dxf>
      <font>
        <color rgb="FF415560"/>
      </font>
      <fill>
        <patternFill>
          <bgColor rgb="FF415560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ill>
        <patternFill patternType="none">
          <fgColor indexed="64"/>
          <bgColor auto="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thin">
          <color theme="0" tint="-0.14996795556505021"/>
        </horizontal>
      </border>
    </dxf>
    <dxf>
      <font>
        <color auto="1"/>
      </font>
      <fill>
        <patternFill>
          <bgColor theme="3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ill>
        <patternFill patternType="none">
          <fgColor indexed="64"/>
          <bgColor auto="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thin">
          <color theme="2" tint="-9.9948118533890809E-2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5" defaultTableStyle="TableStyleMedium2" defaultPivotStyle="PivotStyleLight16">
    <tableStyle name="MySqlDefault" pivot="0" table="0" count="2" xr9:uid="{00000000-0011-0000-FFFF-FFFF00000000}">
      <tableStyleElement type="wholeTable" dxfId="564"/>
      <tableStyleElement type="headerRow" dxfId="563"/>
    </tableStyle>
    <tableStyle name="New IAS" pivot="0" count="2" xr9:uid="{00000000-0011-0000-FFFF-FFFF01000000}">
      <tableStyleElement type="wholeTable" dxfId="562"/>
      <tableStyleElement type="headerRow" dxfId="561"/>
    </tableStyle>
    <tableStyle name="Table Style 1" pivot="0" count="2" xr9:uid="{00000000-0011-0000-FFFF-FFFF02000000}">
      <tableStyleElement type="wholeTable" dxfId="560"/>
      <tableStyleElement type="headerRow" dxfId="559"/>
    </tableStyle>
    <tableStyle name="Table Style 2" pivot="0" count="1" xr9:uid="{00000000-0011-0000-FFFF-FFFF03000000}">
      <tableStyleElement type="wholeTable" dxfId="558"/>
    </tableStyle>
    <tableStyle name="TableStyleLight1 2" pivot="0" count="7" xr9:uid="{00000000-0011-0000-FFFF-FFFF04000000}">
      <tableStyleElement type="wholeTable" dxfId="557"/>
      <tableStyleElement type="headerRow" dxfId="556"/>
      <tableStyleElement type="totalRow" dxfId="555"/>
      <tableStyleElement type="firstColumn" dxfId="554"/>
      <tableStyleElement type="lastColumn" dxfId="553"/>
      <tableStyleElement type="firstRowStripe" dxfId="552"/>
      <tableStyleElement type="firstColumnStripe" dxfId="551"/>
    </tableStyle>
  </tableStyles>
  <colors>
    <mruColors>
      <color rgb="FF415560"/>
      <color rgb="FFB6B8BA"/>
      <color rgb="FFF57B20"/>
      <color rgb="FF455560"/>
      <color rgb="FF0000FF"/>
      <color rgb="FFF47B20"/>
      <color rgb="FF73C167"/>
      <color rgb="FFAAF5C3"/>
      <color rgb="FF9CC5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1023936</xdr:colOff>
      <xdr:row>1</xdr:row>
      <xdr:rowOff>119063</xdr:rowOff>
    </xdr:from>
    <xdr:to>
      <xdr:col>2</xdr:col>
      <xdr:colOff>3309941</xdr:colOff>
      <xdr:row>4</xdr:row>
      <xdr:rowOff>17241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717" y="321469"/>
          <a:ext cx="2286005" cy="4815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1071565</xdr:colOff>
      <xdr:row>1</xdr:row>
      <xdr:rowOff>107157</xdr:rowOff>
    </xdr:from>
    <xdr:to>
      <xdr:col>3</xdr:col>
      <xdr:colOff>3357570</xdr:colOff>
      <xdr:row>4</xdr:row>
      <xdr:rowOff>5335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6" y="309563"/>
          <a:ext cx="2286005" cy="4815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1071566</xdr:colOff>
      <xdr:row>1</xdr:row>
      <xdr:rowOff>107155</xdr:rowOff>
    </xdr:from>
    <xdr:to>
      <xdr:col>4</xdr:col>
      <xdr:colOff>3357571</xdr:colOff>
      <xdr:row>4</xdr:row>
      <xdr:rowOff>5333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7" y="309561"/>
          <a:ext cx="2286005" cy="4815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1012033</xdr:colOff>
      <xdr:row>1</xdr:row>
      <xdr:rowOff>107158</xdr:rowOff>
    </xdr:from>
    <xdr:to>
      <xdr:col>4</xdr:col>
      <xdr:colOff>1273975</xdr:colOff>
      <xdr:row>4</xdr:row>
      <xdr:rowOff>5336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6814" y="309564"/>
          <a:ext cx="2286005" cy="4815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1047754</xdr:colOff>
      <xdr:row>1</xdr:row>
      <xdr:rowOff>107158</xdr:rowOff>
    </xdr:from>
    <xdr:to>
      <xdr:col>5</xdr:col>
      <xdr:colOff>1309696</xdr:colOff>
      <xdr:row>4</xdr:row>
      <xdr:rowOff>5336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535" y="309564"/>
          <a:ext cx="2286005" cy="4815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488156</xdr:colOff>
      <xdr:row>1</xdr:row>
      <xdr:rowOff>71436</xdr:rowOff>
    </xdr:from>
    <xdr:to>
      <xdr:col>2</xdr:col>
      <xdr:colOff>2774161</xdr:colOff>
      <xdr:row>3</xdr:row>
      <xdr:rowOff>160114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" y="273842"/>
          <a:ext cx="2286005" cy="4815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678656</xdr:colOff>
      <xdr:row>1</xdr:row>
      <xdr:rowOff>71438</xdr:rowOff>
    </xdr:from>
    <xdr:to>
      <xdr:col>3</xdr:col>
      <xdr:colOff>2962280</xdr:colOff>
      <xdr:row>3</xdr:row>
      <xdr:rowOff>157734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7" y="273844"/>
          <a:ext cx="2283624" cy="47920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619126</xdr:colOff>
      <xdr:row>1</xdr:row>
      <xdr:rowOff>59532</xdr:rowOff>
    </xdr:from>
    <xdr:to>
      <xdr:col>4</xdr:col>
      <xdr:colOff>2902750</xdr:colOff>
      <xdr:row>3</xdr:row>
      <xdr:rowOff>145828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07" y="261938"/>
          <a:ext cx="2283624" cy="47920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1071562</xdr:colOff>
      <xdr:row>1</xdr:row>
      <xdr:rowOff>107156</xdr:rowOff>
    </xdr:from>
    <xdr:to>
      <xdr:col>4</xdr:col>
      <xdr:colOff>1333504</xdr:colOff>
      <xdr:row>4</xdr:row>
      <xdr:rowOff>5334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3" y="309562"/>
          <a:ext cx="2286005" cy="48158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107156</xdr:colOff>
      <xdr:row>1</xdr:row>
      <xdr:rowOff>119063</xdr:rowOff>
    </xdr:from>
    <xdr:to>
      <xdr:col>1</xdr:col>
      <xdr:colOff>1178718</xdr:colOff>
      <xdr:row>1</xdr:row>
      <xdr:rowOff>344806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719" y="309563"/>
          <a:ext cx="1071562" cy="2257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00000000}" name="DataT" displayName="DataT" ref="B15:AA16" totalsRowShown="0" headerRowDxfId="550" dataDxfId="548" headerRowBorderDxfId="549" dataCellStyle="Percent">
  <autoFilter ref="B15:AA16" xr:uid="{00000000-0009-0000-0100-000021000000}"/>
  <tableColumns count="26">
    <tableColumn id="74" xr3:uid="{00000000-0010-0000-0000-00004A000000}" name="Region (Team)" dataDxfId="547">
      <calculatedColumnFormula>IFERROR(
IF(DataT[[#Headers],[Region (Team)]]="Brand",VLOOKUP(DataT[[#This Row],[Campaign]],Map_Campaign[],2,0),
IF(DataT[[#Headers],[Region (Team)]]="Region (Team)",VLOOKUP(DataT[[#This Row],[Team]],Map_Team[],2,0),
IF(DataT[[#Headers],[Region (Team)]]="Region (Campaign)",VLOOKUP(DataT[[#This Row],[Campaign]],Map_Campaign[],3,0),
IF(DataT[[#Headers],[Region (Team)]]="Partner Type",VLOOKUP(DataT[[#This Row],[Partner]],Map_Partner[],2,0),
IF(DataT[[#Headers],[Region (Team)]]="Device Type",VLOOKUP(DataT[[#This Row],[Placement]],Map_Placement[],3,0),
IF(DataT[[#Headers],[Region (Team)]]="Creative Size",VLOOKUP(DataT[[#This Row],[Placement]],Map_Placement[],2,0),"Not a mapping option.")))))),
"[Unmapped]")</calculatedColumnFormula>
    </tableColumn>
    <tableColumn id="73" xr3:uid="{00000000-0010-0000-0000-000049000000}" name="Team" dataDxfId="546"/>
    <tableColumn id="71" xr3:uid="{00000000-0010-0000-0000-000047000000}" name="Campaign" dataDxfId="545"/>
    <tableColumn id="18" xr3:uid="{00000000-0010-0000-0000-000012000000}" name="Partner" dataDxfId="544"/>
    <tableColumn id="38" xr3:uid="{00000000-0010-0000-0000-000026000000}" name="Placement" dataDxfId="543"/>
    <tableColumn id="122" xr3:uid="{00000000-0010-0000-0000-00007A000000}" name="Device Type" dataDxfId="542"/>
    <tableColumn id="75" xr3:uid="{00000000-0010-0000-0000-00004B000000}" name="Blocking Status" dataDxfId="541"/>
    <tableColumn id="72" xr3:uid="{00000000-0010-0000-0000-000048000000}" name="Measured Impressions" dataDxfId="540" dataCellStyle="Comma"/>
    <tableColumn id="4" xr3:uid="{00000000-0010-0000-0000-000004000000}" name="Total Impressions" dataDxfId="539" dataCellStyle="Comma"/>
    <tableColumn id="5" xr3:uid="{00000000-0010-0000-0000-000005000000}" name="Measured Rate _x000a_[% Measured]" dataDxfId="538" dataCellStyle="Percent"/>
    <tableColumn id="6" xr3:uid="{00000000-0010-0000-0000-000006000000}" name="See-Through Rate _x000a_[% Visible]" dataDxfId="537" dataCellStyle="Percent"/>
    <tableColumn id="77" xr3:uid="{00000000-0010-0000-0000-00004D000000}" name="Brand Safety _x000a_[% Passed]" dataDxfId="536" dataCellStyle="Percent"/>
    <tableColumn id="41" xr3:uid="{00000000-0010-0000-0000-000029000000}" name="Brand Safety _x000a_[% Failed]" dataDxfId="535" dataCellStyle="Percent"/>
    <tableColumn id="60" xr3:uid="{00000000-0010-0000-0000-00003C000000}" name="Brand Safety _x000a_[% Failed by Content]" dataDxfId="534" dataCellStyle="Percent"/>
    <tableColumn id="63" xr3:uid="{00000000-0010-0000-0000-00003F000000}" name="Brand Safety _x000a_[% Failed by Geo]" dataDxfId="533" dataCellStyle="Percent"/>
    <tableColumn id="7" xr3:uid="{00000000-0010-0000-0000-000007000000}" name="Brand Safety _x000a_[% Failed by Keyword]" dataDxfId="532" dataCellStyle="Percent"/>
    <tableColumn id="8" xr3:uid="{00000000-0010-0000-0000-000008000000}" name="Brand Safety _x000a_[% Failed by Blacklist]" dataDxfId="531" dataCellStyle="Percent"/>
    <tableColumn id="9" xr3:uid="{00000000-0010-0000-0000-000009000000}" name="Brand Safety _x000a_[% Failed by Language]" dataDxfId="530" dataCellStyle="Percent"/>
    <tableColumn id="10" xr3:uid="{00000000-0010-0000-0000-00000A000000}" name="Fraud _x000a_[% Fraud]" dataDxfId="529" dataCellStyle="Percent"/>
    <tableColumn id="11" xr3:uid="{00000000-0010-0000-0000-00000B000000}" name="Viewability _x000a_[Total Viewable Rate (Total Net Metrics)]" dataDxfId="528" dataCellStyle="Percent"/>
    <tableColumn id="2" xr3:uid="{00000000-0010-0000-0000-000002000000}" name="Display Viewability _x000a_[Total Viewable Rate (Total Net Metrics)]" dataDxfId="527" dataCellStyle="Percent"/>
    <tableColumn id="78" xr3:uid="{00000000-0010-0000-0000-00004E000000}" name="Video Viewability _x000a_[Total Viewable Rate (Total Net Metrics)]" dataDxfId="526" dataCellStyle="Percent"/>
    <tableColumn id="12" xr3:uid="{00000000-0010-0000-0000-00000C000000}" name="GroupM Viewability _x000a_[% Display Ads Fully in View]" dataDxfId="525" dataCellStyle="Percent"/>
    <tableColumn id="76" xr3:uid="{00000000-0010-0000-0000-00004C000000}" name="GroupM Viewability _x000a_[% Videos Fully in View]" dataDxfId="524" dataCellStyle="Percent"/>
    <tableColumn id="3" xr3:uid="{00000000-0010-0000-0000-000003000000}" name="Publicis Viewability _x000a_[% Display Ads Fully in View]" dataDxfId="523" dataCellStyle="Percent"/>
    <tableColumn id="13" xr3:uid="{00000000-0010-0000-0000-00000D000000}" name="Publicis Viewability _x000a_[% Videos Fully in View]" dataDxfId="522" dataCellStyle="Percent"/>
  </tableColumns>
  <tableStyleInfo name="New IAS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01000000}" name="BenchmarksT" displayName="BenchmarksT" ref="K6:AA13" totalsRowShown="0" headerRowDxfId="521" dataDxfId="520">
  <autoFilter ref="K6:AA13" xr:uid="{00000000-0009-0000-0100-000022000000}"/>
  <tableColumns count="17">
    <tableColumn id="1" xr3:uid="{00000000-0010-0000-0100-000001000000}" name="Measured Rate _x000a_[% Measured]" dataDxfId="519"/>
    <tableColumn id="2" xr3:uid="{00000000-0010-0000-0100-000002000000}" name="See-Through Rate _x000a_[% Visible]" dataDxfId="518"/>
    <tableColumn id="25" xr3:uid="{00000000-0010-0000-0100-000019000000}" name="Brand Safety _x000a_[% Passed]" dataDxfId="517">
      <calculatedColumnFormula array="1">SUM(
(DataT[Brand Safety 
'[% Passed']]&lt;&gt;"NULL")*
DataT[Brand Safety 
'[% Passed']]*SUBTOTAL(9,OFFSET(DataT[Total Impressions],ROW(DataT[Total Impressions])-MIN(ROW(DataT[Total Impressions])),0,1)))
/
SUM(
(DataT[Brand Safety 
'[% Passed']]&lt;&gt;"NULL")*
SUBTOTAL(9,OFFSET(DataT[Total Impressions],ROW(DataT[Total Impressions])-MIN(ROW(DataT[Total Impressions])),0,1)))</calculatedColumnFormula>
    </tableColumn>
    <tableColumn id="23" xr3:uid="{00000000-0010-0000-0100-000017000000}" name="Brand Safety _x000a_[% Failed]" dataDxfId="516"/>
    <tableColumn id="36" xr3:uid="{00000000-0010-0000-0100-000024000000}" name="Brand Safety _x000a_[% Failed by Content]" dataDxfId="515"/>
    <tableColumn id="16" xr3:uid="{00000000-0010-0000-0100-000010000000}" name="Brand Safety _x000a_[% Failed by Geo]" dataDxfId="514"/>
    <tableColumn id="3" xr3:uid="{00000000-0010-0000-0100-000003000000}" name="Brand Safety _x000a_[% Failed by Keyword]" dataDxfId="513"/>
    <tableColumn id="4" xr3:uid="{00000000-0010-0000-0100-000004000000}" name="Brand Safety _x000a_[% Failed by Blacklist]" dataDxfId="512"/>
    <tableColumn id="5" xr3:uid="{00000000-0010-0000-0100-000005000000}" name="Brand Safety _x000a_[% Failed by Language]" dataDxfId="511"/>
    <tableColumn id="6" xr3:uid="{00000000-0010-0000-0100-000006000000}" name="Fraud _x000a_[% Fraud]" dataDxfId="510"/>
    <tableColumn id="7" xr3:uid="{00000000-0010-0000-0100-000007000000}" name="Viewability _x000a_[Total Viewable Rate (Total Net Metrics)]" dataDxfId="509"/>
    <tableColumn id="8" xr3:uid="{00000000-0010-0000-0100-000008000000}" name="Display Viewability _x000a_[Total Viewable Rate (Total Net Metrics)]" dataDxfId="508"/>
    <tableColumn id="26" xr3:uid="{00000000-0010-0000-0100-00001A000000}" name="Video Viewability _x000a_[Total Viewable Rate (Total Net Metrics)]" dataDxfId="507">
      <calculatedColumnFormula array="1">SUM(
IF(DataT[Video Viewability 
'[Total Viewable Rate (Total Net Metrics)']]&lt;&gt;"NULL",
IF(DataT[Region (Team)]=ColumnT[[#This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IF(DataT[Region (Team)]=ColumnT[[#This Row],[Metric]],
SUBTOTAL(9,OFFSET(DataT[Total Impressions],ROW(DataT[Total Impressions])-MIN(ROW(DataT[Total Impressions])),0,1)))))</calculatedColumnFormula>
    </tableColumn>
    <tableColumn id="9" xr3:uid="{00000000-0010-0000-0100-000009000000}" name="GroupM Viewability _x000a_[% Display Ads Fully in View]" dataDxfId="506"/>
    <tableColumn id="24" xr3:uid="{00000000-0010-0000-0100-000018000000}" name="GroupM Viewability _x000a_[% Videos Fully in View]" dataDxfId="505"/>
    <tableColumn id="10" xr3:uid="{00000000-0010-0000-0100-00000A000000}" name="Publicis Viewability _x000a_[% Display Ads Fully in View]" dataDxfId="504"/>
    <tableColumn id="11" xr3:uid="{00000000-0010-0000-0100-00000B000000}" name="Publicis Viewability _x000a_[% Videos Fully in View]" dataDxfId="503"/>
  </tableColumns>
  <tableStyleInfo name="New IAS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02000000}" name="ColumnT" displayName="ColumnT" ref="J6:J13" totalsRowShown="0" headerRowDxfId="502" dataDxfId="500" headerRowBorderDxfId="501" tableBorderDxfId="499">
  <autoFilter ref="J6:J13" xr:uid="{00000000-0009-0000-0100-000023000000}"/>
  <tableColumns count="1">
    <tableColumn id="1" xr3:uid="{00000000-0010-0000-0200-000001000000}" name="Metric" dataDxfId="498"/>
  </tableColumns>
  <tableStyleInfo name="New IAS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DataC" displayName="DataC" ref="B15:AA16" totalsRowShown="0" headerRowDxfId="497" dataDxfId="495" headerRowBorderDxfId="496" dataCellStyle="Percent">
  <autoFilter ref="B15:AA16" xr:uid="{00000000-0009-0000-0100-000005000000}"/>
  <tableColumns count="26">
    <tableColumn id="74" xr3:uid="{00000000-0010-0000-0300-00004A000000}" name="Brand" dataDxfId="494"/>
    <tableColumn id="73" xr3:uid="{00000000-0010-0000-0300-000049000000}" name="Team" dataDxfId="493"/>
    <tableColumn id="71" xr3:uid="{00000000-0010-0000-0300-000047000000}" name="Campaign" dataDxfId="492"/>
    <tableColumn id="18" xr3:uid="{00000000-0010-0000-0300-000012000000}" name="Partner" dataDxfId="491"/>
    <tableColumn id="38" xr3:uid="{00000000-0010-0000-0300-000026000000}" name="Placement" dataDxfId="490"/>
    <tableColumn id="122" xr3:uid="{00000000-0010-0000-0300-00007A000000}" name="Device Type" dataDxfId="489"/>
    <tableColumn id="75" xr3:uid="{00000000-0010-0000-0300-00004B000000}" name="Blocking Status" dataDxfId="488"/>
    <tableColumn id="72" xr3:uid="{00000000-0010-0000-0300-000048000000}" name="Measured Impressions" dataDxfId="487" dataCellStyle="Comma"/>
    <tableColumn id="4" xr3:uid="{00000000-0010-0000-0300-000004000000}" name="Total Impressions" dataDxfId="486" dataCellStyle="Comma"/>
    <tableColumn id="5" xr3:uid="{00000000-0010-0000-0300-000005000000}" name="Measured Rate _x000a_[% Measured]" dataDxfId="485" dataCellStyle="Percent"/>
    <tableColumn id="6" xr3:uid="{00000000-0010-0000-0300-000006000000}" name="See-Through Rate _x000a_[% Visible]" dataDxfId="484" dataCellStyle="Percent"/>
    <tableColumn id="77" xr3:uid="{00000000-0010-0000-0300-00004D000000}" name="Brand Safety _x000a_[% Passed]" dataDxfId="483" dataCellStyle="Percent"/>
    <tableColumn id="41" xr3:uid="{00000000-0010-0000-0300-000029000000}" name="Brand Safety _x000a_[% Failed]" dataDxfId="482" dataCellStyle="Percent"/>
    <tableColumn id="60" xr3:uid="{00000000-0010-0000-0300-00003C000000}" name="Brand Safety _x000a_[% Failed by Content]" dataDxfId="481" dataCellStyle="Percent"/>
    <tableColumn id="63" xr3:uid="{00000000-0010-0000-0300-00003F000000}" name="Brand Safety _x000a_[% Failed by Geo]" dataDxfId="480" dataCellStyle="Percent"/>
    <tableColumn id="7" xr3:uid="{00000000-0010-0000-0300-000007000000}" name="Brand Safety _x000a_[% Failed by Keyword]" dataDxfId="479" dataCellStyle="Percent"/>
    <tableColumn id="8" xr3:uid="{00000000-0010-0000-0300-000008000000}" name="Brand Safety _x000a_[% Failed by Blacklist]" dataDxfId="478" dataCellStyle="Percent"/>
    <tableColumn id="9" xr3:uid="{00000000-0010-0000-0300-000009000000}" name="Brand Safety _x000a_[% Failed by Language]" dataDxfId="477" dataCellStyle="Percent"/>
    <tableColumn id="10" xr3:uid="{00000000-0010-0000-0300-00000A000000}" name="Fraud _x000a_[% Fraud]" dataDxfId="476" dataCellStyle="Percent"/>
    <tableColumn id="11" xr3:uid="{00000000-0010-0000-0300-00000B000000}" name="Viewability _x000a_[Total Viewable Rate (Total Net Metrics)]" dataDxfId="475" dataCellStyle="Percent"/>
    <tableColumn id="2" xr3:uid="{00000000-0010-0000-0300-000002000000}" name="Display Viewability _x000a_[Total Viewable Rate (Total Net Metrics)]" dataDxfId="474" dataCellStyle="Percent"/>
    <tableColumn id="78" xr3:uid="{00000000-0010-0000-0300-00004E000000}" name="Video Viewability _x000a_[Total Viewable Rate (Total Net Metrics)]" dataDxfId="473" dataCellStyle="Percent"/>
    <tableColumn id="12" xr3:uid="{00000000-0010-0000-0300-00000C000000}" name="GroupM Viewability _x000a_[% Display Ads Fully in View]" dataDxfId="472" dataCellStyle="Percent"/>
    <tableColumn id="76" xr3:uid="{00000000-0010-0000-0300-00004C000000}" name="GroupM Viewability _x000a_[% Videos Fully in View]" dataDxfId="471" dataCellStyle="Percent"/>
    <tableColumn id="3" xr3:uid="{00000000-0010-0000-0300-000003000000}" name="Publicis Viewability _x000a_[% Display Ads Fully in View]" dataDxfId="470" dataCellStyle="Percent"/>
    <tableColumn id="13" xr3:uid="{00000000-0010-0000-0300-00000D000000}" name="Publicis Viewability _x000a_[% Videos Fully in View]" dataDxfId="469" dataCellStyle="Percent"/>
  </tableColumns>
  <tableStyleInfo name="New IAS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BenchmarksC" displayName="BenchmarksC" ref="K6:AA13" totalsRowShown="0" headerRowDxfId="468" dataDxfId="467">
  <autoFilter ref="K6:AA13" xr:uid="{00000000-0009-0000-0100-000006000000}"/>
  <tableColumns count="17">
    <tableColumn id="1" xr3:uid="{00000000-0010-0000-0400-000001000000}" name="Measured Rate _x000a_[% Measured]" dataDxfId="466"/>
    <tableColumn id="2" xr3:uid="{00000000-0010-0000-0400-000002000000}" name="See-Through Rate _x000a_[% Visible]" dataDxfId="465"/>
    <tableColumn id="25" xr3:uid="{00000000-0010-0000-0400-000019000000}" name="Brand Safety _x000a_[% Passed]" dataDxfId="464">
      <calculatedColumnFormula array="1">SUM(
(DataC[Brand Safety 
'[% Passed']]&lt;&gt;"NULL")*
DataC[Brand Safety 
'[% Passed']]*SUBTOTAL(9,OFFSET(DataC[Total Impressions],ROW(DataC[Total Impressions])-MIN(ROW(DataC[Total Impressions])),0,1)))
/
SUM(
(DataC[Brand Safety 
'[% Passed']]&lt;&gt;"NULL")*
SUBTOTAL(9,OFFSET(DataC[Total Impressions],ROW(DataC[Total Impressions])-MIN(ROW(DataC[Total Impressions])),0,1)))</calculatedColumnFormula>
    </tableColumn>
    <tableColumn id="23" xr3:uid="{00000000-0010-0000-0400-000017000000}" name="Brand Safety _x000a_[% Failed]" dataDxfId="463"/>
    <tableColumn id="36" xr3:uid="{00000000-0010-0000-0400-000024000000}" name="Brand Safety _x000a_[% Failed by Content]" dataDxfId="462"/>
    <tableColumn id="16" xr3:uid="{00000000-0010-0000-0400-000010000000}" name="Brand Safety _x000a_[% Failed by Geo]" dataDxfId="461"/>
    <tableColumn id="3" xr3:uid="{00000000-0010-0000-0400-000003000000}" name="Brand Safety _x000a_[% Failed by Keyword]" dataDxfId="460"/>
    <tableColumn id="4" xr3:uid="{00000000-0010-0000-0400-000004000000}" name="Brand Safety _x000a_[% Failed by Blacklist]" dataDxfId="459"/>
    <tableColumn id="5" xr3:uid="{00000000-0010-0000-0400-000005000000}" name="Brand Safety _x000a_[% Failed by Language]" dataDxfId="458"/>
    <tableColumn id="6" xr3:uid="{00000000-0010-0000-0400-000006000000}" name="Fraud _x000a_[% Fraud]" dataDxfId="457"/>
    <tableColumn id="7" xr3:uid="{00000000-0010-0000-0400-000007000000}" name="Viewability _x000a_[Total Viewable Rate (Total Net Metrics)]" dataDxfId="456"/>
    <tableColumn id="8" xr3:uid="{00000000-0010-0000-0400-000008000000}" name="Display Viewability _x000a_[Total Viewable Rate (Total Net Metrics)]" dataDxfId="455"/>
    <tableColumn id="26" xr3:uid="{00000000-0010-0000-0400-00001A000000}" name="Video Viewability _x000a_[Total Viewable Rate (Total Net Metrics)]" dataDxfId="454">
      <calculatedColumnFormula array="1">SUM(
IF(DataC[Video Viewability 
'[Total Viewable Rate (Total Net Metrics)']]&lt;&gt;"NULL",
IF(DataC[Brand]=#REF!,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IF(DataC[Brand]=#REF!,
SUBTOTAL(9,OFFSET(DataC[Total Impressions],ROW(DataC[Total Impressions])-MIN(ROW(DataC[Total Impressions])),0,1)))))</calculatedColumnFormula>
    </tableColumn>
    <tableColumn id="9" xr3:uid="{00000000-0010-0000-0400-000009000000}" name="GroupM Viewability _x000a_[% Display Ads Fully in View]" dataDxfId="453"/>
    <tableColumn id="24" xr3:uid="{00000000-0010-0000-0400-000018000000}" name="GroupM Viewability _x000a_[% Videos Fully in View]" dataDxfId="452"/>
    <tableColumn id="10" xr3:uid="{00000000-0010-0000-0400-00000A000000}" name="Publicis Viewability _x000a_[% Display Ads Fully in View]" dataDxfId="451"/>
    <tableColumn id="11" xr3:uid="{00000000-0010-0000-0400-00000B000000}" name="Publicis Viewability _x000a_[% Videos Fully in View]" dataDxfId="450"/>
  </tableColumns>
  <tableStyleInfo name="New IAS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05000000}" name="ColumnC" displayName="ColumnC" ref="J6:J13" totalsRowShown="0" headerRowDxfId="449" dataDxfId="447" headerRowBorderDxfId="448" tableBorderDxfId="446">
  <autoFilter ref="J6:J13" xr:uid="{00000000-0009-0000-0100-000024000000}"/>
  <tableColumns count="1">
    <tableColumn id="1" xr3:uid="{00000000-0010-0000-0500-000001000000}" name="Metric" dataDxfId="445"/>
  </tableColumns>
  <tableStyleInfo name="New IAS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DataP" displayName="DataP" ref="B15:AA16" totalsRowShown="0" headerRowDxfId="444" dataDxfId="442" headerRowBorderDxfId="443" dataCellStyle="Percent">
  <autoFilter ref="B15:AA16" xr:uid="{00000000-0009-0000-0100-000001000000}"/>
  <tableColumns count="26">
    <tableColumn id="74" xr3:uid="{00000000-0010-0000-0600-00004A000000}" name="Partner Type" dataDxfId="441"/>
    <tableColumn id="73" xr3:uid="{00000000-0010-0000-0600-000049000000}" name="Team" dataDxfId="440"/>
    <tableColumn id="71" xr3:uid="{00000000-0010-0000-0600-000047000000}" name="Campaign" dataDxfId="439"/>
    <tableColumn id="18" xr3:uid="{00000000-0010-0000-0600-000012000000}" name="Partner" dataDxfId="438"/>
    <tableColumn id="38" xr3:uid="{00000000-0010-0000-0600-000026000000}" name="Placement" dataDxfId="437"/>
    <tableColumn id="121" xr3:uid="{00000000-0010-0000-0600-000079000000}" name="Device Type" dataDxfId="436"/>
    <tableColumn id="75" xr3:uid="{00000000-0010-0000-0600-00004B000000}" name="Blocking Status" dataDxfId="435"/>
    <tableColumn id="72" xr3:uid="{00000000-0010-0000-0600-000048000000}" name="Measured Impressions" dataDxfId="434" dataCellStyle="Comma"/>
    <tableColumn id="4" xr3:uid="{00000000-0010-0000-0600-000004000000}" name="Total Impressions" dataDxfId="433" dataCellStyle="Comma"/>
    <tableColumn id="5" xr3:uid="{00000000-0010-0000-0600-000005000000}" name="Measured Rate _x000a_[% Measured]" dataDxfId="432" dataCellStyle="Percent"/>
    <tableColumn id="6" xr3:uid="{00000000-0010-0000-0600-000006000000}" name="See-Through Rate _x000a_[% Visible]" dataDxfId="431" dataCellStyle="Percent"/>
    <tableColumn id="77" xr3:uid="{00000000-0010-0000-0600-00004D000000}" name="Brand Safety _x000a_[% Passed]" dataDxfId="430" dataCellStyle="Percent"/>
    <tableColumn id="41" xr3:uid="{00000000-0010-0000-0600-000029000000}" name="Brand Safety _x000a_[% Failed]" dataDxfId="429" dataCellStyle="Percent"/>
    <tableColumn id="60" xr3:uid="{00000000-0010-0000-0600-00003C000000}" name="Brand Safety _x000a_[% Failed by Content]" dataDxfId="428" dataCellStyle="Percent"/>
    <tableColumn id="63" xr3:uid="{00000000-0010-0000-0600-00003F000000}" name="Brand Safety _x000a_[% Failed by Geo]" dataDxfId="427" dataCellStyle="Percent"/>
    <tableColumn id="7" xr3:uid="{00000000-0010-0000-0600-000007000000}" name="Brand Safety _x000a_[% Failed by Keyword]" dataDxfId="426" dataCellStyle="Percent"/>
    <tableColumn id="8" xr3:uid="{00000000-0010-0000-0600-000008000000}" name="Brand Safety _x000a_[% Failed by Blacklist]" dataDxfId="425" dataCellStyle="Percent"/>
    <tableColumn id="9" xr3:uid="{00000000-0010-0000-0600-000009000000}" name="Brand Safety _x000a_[% Failed by Language]" dataDxfId="424" dataCellStyle="Percent"/>
    <tableColumn id="10" xr3:uid="{00000000-0010-0000-0600-00000A000000}" name="Fraud _x000a_[% Fraud]" dataDxfId="423" dataCellStyle="Percent"/>
    <tableColumn id="11" xr3:uid="{00000000-0010-0000-0600-00000B000000}" name="Viewability _x000a_[Total Viewable Rate (Total Net Metrics)]" dataDxfId="422" dataCellStyle="Percent"/>
    <tableColumn id="2" xr3:uid="{00000000-0010-0000-0600-000002000000}" name="Display Viewability _x000a_[Total Viewable Rate (Total Net Metrics)]" dataDxfId="421" dataCellStyle="Percent"/>
    <tableColumn id="78" xr3:uid="{00000000-0010-0000-0600-00004E000000}" name="Video Viewability _x000a_[Total Viewable Rate (Total Net Metrics)]" dataDxfId="420" dataCellStyle="Percent"/>
    <tableColumn id="12" xr3:uid="{00000000-0010-0000-0600-00000C000000}" name="GroupM Viewability _x000a_[% Display Ads Fully in View]" dataDxfId="419" dataCellStyle="Percent"/>
    <tableColumn id="76" xr3:uid="{00000000-0010-0000-0600-00004C000000}" name="GroupM Viewability _x000a_[% Videos Fully in View]" dataDxfId="418" dataCellStyle="Percent"/>
    <tableColumn id="3" xr3:uid="{00000000-0010-0000-0600-000003000000}" name="Publicis Viewability _x000a_[% Display Ads Fully in View]" dataDxfId="417" dataCellStyle="Percent"/>
    <tableColumn id="13" xr3:uid="{00000000-0010-0000-0600-00000D000000}" name="Publicis Viewability _x000a_[% Videos Fully in View]" dataDxfId="416" dataCellStyle="Percent"/>
  </tableColumns>
  <tableStyleInfo name="New IAS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7000000}" name="BenchmarksP" displayName="BenchmarksP" ref="K6:AA13" totalsRowShown="0" headerRowDxfId="415" dataDxfId="414">
  <autoFilter ref="K6:AA13" xr:uid="{00000000-0009-0000-0100-000002000000}"/>
  <tableColumns count="17">
    <tableColumn id="1" xr3:uid="{00000000-0010-0000-0700-000001000000}" name="Measured Rate _x000a_[% Measured]" dataDxfId="413"/>
    <tableColumn id="2" xr3:uid="{00000000-0010-0000-0700-000002000000}" name="See-Through Rate _x000a_[% Visible]" dataDxfId="412"/>
    <tableColumn id="25" xr3:uid="{00000000-0010-0000-0700-000019000000}" name="Brand Safety _x000a_[% Passed]" dataDxfId="411">
      <calculatedColumnFormula array="1">SUM(
(DataP[Brand Safety 
'[% Passed']]&lt;&gt;"NULL")*
DataP[Brand Safety 
'[% Passed']]*SUBTOTAL(9,OFFSET(DataP[Total Impressions],ROW(DataP[Total Impressions])-MIN(ROW(DataP[Total Impressions])),0,1)))
/
SUM(
(DataP[Brand Safety 
'[% Passed']]&lt;&gt;"NULL")*
SUBTOTAL(9,OFFSET(DataP[Total Impressions],ROW(DataP[Total Impressions])-MIN(ROW(DataP[Total Impressions])),0,1)))</calculatedColumnFormula>
    </tableColumn>
    <tableColumn id="16" xr3:uid="{00000000-0010-0000-0700-000010000000}" name="Brand Safety _x000a_[% Failed]" dataDxfId="410"/>
    <tableColumn id="23" xr3:uid="{00000000-0010-0000-0700-000017000000}" name="Brand Safety _x000a_[% Failed by Content]" dataDxfId="409"/>
    <tableColumn id="36" xr3:uid="{00000000-0010-0000-0700-000024000000}" name="Brand Safety _x000a_[% Failed by Geo]" dataDxfId="408"/>
    <tableColumn id="3" xr3:uid="{00000000-0010-0000-0700-000003000000}" name="Brand Safety _x000a_[% Failed by Keyword]" dataDxfId="407"/>
    <tableColumn id="4" xr3:uid="{00000000-0010-0000-0700-000004000000}" name="Brand Safety _x000a_[% Failed by Blacklist]" dataDxfId="406"/>
    <tableColumn id="5" xr3:uid="{00000000-0010-0000-0700-000005000000}" name="Brand Safety _x000a_[% Failed by Language]" dataDxfId="405"/>
    <tableColumn id="6" xr3:uid="{00000000-0010-0000-0700-000006000000}" name="Fraud _x000a_[% Fraud]" dataDxfId="404"/>
    <tableColumn id="7" xr3:uid="{00000000-0010-0000-0700-000007000000}" name="Viewability _x000a_[Total Viewable Rate (Total Net Metrics)]" dataDxfId="403"/>
    <tableColumn id="8" xr3:uid="{00000000-0010-0000-0700-000008000000}" name="Display Viewability _x000a_[Total Viewable Rate (Total Net Metrics)]" dataDxfId="402"/>
    <tableColumn id="26" xr3:uid="{00000000-0010-0000-0700-00001A000000}" name="Video Viewability _x000a_[Total Viewable Rate (Total Net Metrics)]" dataDxfId="401">
      <calculatedColumnFormula array="1">SUM(
IF(DataP[Video Viewability 
'[Total Viewable Rate (Total Net Metrics)']]&lt;&gt;"NULL",
IF(DataP[Partner Type]=#REF!,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IF(DataP[Partner Type]=#REF!,
SUBTOTAL(9,OFFSET(DataP[Total Impressions],ROW(DataP[Total Impressions])-MIN(ROW(DataP[Total Impressions])),0,1)))))</calculatedColumnFormula>
    </tableColumn>
    <tableColumn id="9" xr3:uid="{00000000-0010-0000-0700-000009000000}" name="GroupM Viewability _x000a_[% Display Ads Fully in View]" dataDxfId="400"/>
    <tableColumn id="24" xr3:uid="{00000000-0010-0000-0700-000018000000}" name="GroupM Viewability _x000a_[% Videos Fully in View]" dataDxfId="399"/>
    <tableColumn id="10" xr3:uid="{00000000-0010-0000-0700-00000A000000}" name="Publicis Viewability _x000a_[% Display Ads Fully in View]" dataDxfId="398"/>
    <tableColumn id="11" xr3:uid="{00000000-0010-0000-0700-00000B000000}" name="Publicis Viewability _x000a_[% Videos Fully in View]" dataDxfId="397"/>
  </tableColumns>
  <tableStyleInfo name="New IAS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08000000}" name="ColumnP" displayName="ColumnP" ref="J6:J13" totalsRowShown="0" headerRowDxfId="396" dataDxfId="394" headerRowBorderDxfId="395" tableBorderDxfId="393">
  <autoFilter ref="J6:J13" xr:uid="{00000000-0009-0000-0100-000025000000}"/>
  <tableColumns count="1">
    <tableColumn id="1" xr3:uid="{00000000-0010-0000-0800-000001000000}" name="Metric" dataDxfId="392"/>
  </tableColumns>
  <tableStyleInfo name="New IAS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DataCP" displayName="DataCP" ref="B15:AA16" totalsRowShown="0" headerRowDxfId="391" dataDxfId="389" headerRowBorderDxfId="390" dataCellStyle="Percent">
  <autoFilter ref="B15:AA16" xr:uid="{00000000-0009-0000-0100-000008000000}"/>
  <tableColumns count="26">
    <tableColumn id="74" xr3:uid="{00000000-0010-0000-0900-00004A000000}" name="Brand" dataDxfId="388"/>
    <tableColumn id="73" xr3:uid="{00000000-0010-0000-0900-000049000000}" name="Team" dataDxfId="387"/>
    <tableColumn id="71" xr3:uid="{00000000-0010-0000-0900-000047000000}" name="Campaign" dataDxfId="386"/>
    <tableColumn id="18" xr3:uid="{00000000-0010-0000-0900-000012000000}" name="Partner" dataDxfId="385"/>
    <tableColumn id="38" xr3:uid="{00000000-0010-0000-0900-000026000000}" name="Placement" dataDxfId="384"/>
    <tableColumn id="122" xr3:uid="{00000000-0010-0000-0900-00007A000000}" name="Device Type" dataDxfId="383"/>
    <tableColumn id="75" xr3:uid="{00000000-0010-0000-0900-00004B000000}" name="Blocking Status" dataDxfId="382"/>
    <tableColumn id="72" xr3:uid="{00000000-0010-0000-0900-000048000000}" name="Measured Impressions" dataDxfId="381" dataCellStyle="Comma"/>
    <tableColumn id="4" xr3:uid="{00000000-0010-0000-0900-000004000000}" name="Total Impressions" dataDxfId="380" dataCellStyle="Comma"/>
    <tableColumn id="5" xr3:uid="{00000000-0010-0000-0900-000005000000}" name="Measured Rate _x000a_[% Measured]" dataDxfId="379" dataCellStyle="Percent"/>
    <tableColumn id="6" xr3:uid="{00000000-0010-0000-0900-000006000000}" name="See-Through Rate _x000a_[% Visible]" dataDxfId="378" dataCellStyle="Percent"/>
    <tableColumn id="77" xr3:uid="{00000000-0010-0000-0900-00004D000000}" name="Brand Safety _x000a_[% Passed]" dataDxfId="377" dataCellStyle="Percent"/>
    <tableColumn id="41" xr3:uid="{00000000-0010-0000-0900-000029000000}" name="Brand Safety _x000a_[% Failed]" dataDxfId="376" dataCellStyle="Percent"/>
    <tableColumn id="60" xr3:uid="{00000000-0010-0000-0900-00003C000000}" name="Brand Safety _x000a_[% Failed by Content]" dataDxfId="375" dataCellStyle="Percent"/>
    <tableColumn id="63" xr3:uid="{00000000-0010-0000-0900-00003F000000}" name="Brand Safety _x000a_[% Failed by Geo]" dataDxfId="374" dataCellStyle="Percent"/>
    <tableColumn id="7" xr3:uid="{00000000-0010-0000-0900-000007000000}" name="Brand Safety _x000a_[% Failed by Keyword]" dataDxfId="373" dataCellStyle="Percent"/>
    <tableColumn id="8" xr3:uid="{00000000-0010-0000-0900-000008000000}" name="Brand Safety _x000a_[% Failed by Blacklist]" dataDxfId="372" dataCellStyle="Percent"/>
    <tableColumn id="9" xr3:uid="{00000000-0010-0000-0900-000009000000}" name="Brand Safety _x000a_[% Failed by Language]" dataDxfId="371" dataCellStyle="Percent"/>
    <tableColumn id="10" xr3:uid="{00000000-0010-0000-0900-00000A000000}" name="Fraud _x000a_[% Fraud]" dataDxfId="370" dataCellStyle="Percent"/>
    <tableColumn id="11" xr3:uid="{00000000-0010-0000-0900-00000B000000}" name="Viewability _x000a_[Total Viewable Rate (Total Net Metrics)]" dataDxfId="369" dataCellStyle="Percent"/>
    <tableColumn id="2" xr3:uid="{00000000-0010-0000-0900-000002000000}" name="Display Viewability _x000a_[Total Viewable Rate (Total Net Metrics)]" dataDxfId="368" dataCellStyle="Percent"/>
    <tableColumn id="78" xr3:uid="{00000000-0010-0000-0900-00004E000000}" name="Video Viewability _x000a_[Total Viewable Rate (Total Net Metrics)]" dataDxfId="367" dataCellStyle="Percent"/>
    <tableColumn id="12" xr3:uid="{00000000-0010-0000-0900-00000C000000}" name="GroupM Viewability _x000a_[% Display Ads Fully in View]" dataDxfId="366" dataCellStyle="Percent"/>
    <tableColumn id="76" xr3:uid="{00000000-0010-0000-0900-00004C000000}" name="GroupM Viewability _x000a_[% Videos Fully in View]" dataDxfId="365" dataCellStyle="Percent"/>
    <tableColumn id="3" xr3:uid="{00000000-0010-0000-0900-000003000000}" name="Publicis Viewability _x000a_[% Display Ads Fully in View]" dataDxfId="364" dataCellStyle="Percent"/>
    <tableColumn id="13" xr3:uid="{00000000-0010-0000-0900-00000D000000}" name="Publicis Viewability _x000a_[% Videos Fully in View]" dataDxfId="363" dataCellStyle="Percent"/>
  </tableColumns>
  <tableStyleInfo name="New IAS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BenchmarksCP" displayName="BenchmarksCP" ref="K6:AA13" totalsRowShown="0" headerRowDxfId="362" dataDxfId="361">
  <autoFilter ref="K6:AA13" xr:uid="{00000000-0009-0000-0100-00000A000000}"/>
  <tableColumns count="17">
    <tableColumn id="1" xr3:uid="{00000000-0010-0000-0A00-000001000000}" name="Measured Rate _x000a_[% Measured]" dataDxfId="360"/>
    <tableColumn id="2" xr3:uid="{00000000-0010-0000-0A00-000002000000}" name="See-Through Rate _x000a_[% Visible]" dataDxfId="359"/>
    <tableColumn id="25" xr3:uid="{00000000-0010-0000-0A00-000019000000}" name="Brand Safety _x000a_[% Passed]" dataDxfId="358">
      <calculatedColumnFormula array="1">SUM(
(DataCP[Brand Safety 
'[% Passed']]&lt;&gt;"NULL")*
DataCP[Brand Safety 
'[% Passed']]*SUBTOTAL(9,OFFSET(DataCP[Total Impressions],ROW(DataCP[Total Impressions])-MIN(ROW(DataCP[Total Impressions])),0,1)))
/
SUM(
(DataCP[Brand Safety 
'[% Passed']]&lt;&gt;"NULL")*
SUBTOTAL(9,OFFSET(DataCP[Total Impressions],ROW(DataCP[Total Impressions])-MIN(ROW(DataCP[Total Impressions])),0,1)))</calculatedColumnFormula>
    </tableColumn>
    <tableColumn id="23" xr3:uid="{00000000-0010-0000-0A00-000017000000}" name="Brand Safety _x000a_[% Failed]" dataDxfId="357"/>
    <tableColumn id="36" xr3:uid="{00000000-0010-0000-0A00-000024000000}" name="Brand Safety _x000a_[% Failed by Content]" dataDxfId="356"/>
    <tableColumn id="16" xr3:uid="{00000000-0010-0000-0A00-000010000000}" name="Brand Safety _x000a_[% Failed by Geo]" dataDxfId="355"/>
    <tableColumn id="3" xr3:uid="{00000000-0010-0000-0A00-000003000000}" name="Brand Safety _x000a_[% Failed by Keyword]" dataDxfId="354"/>
    <tableColumn id="4" xr3:uid="{00000000-0010-0000-0A00-000004000000}" name="Brand Safety _x000a_[% Failed by Blacklist]" dataDxfId="353"/>
    <tableColumn id="5" xr3:uid="{00000000-0010-0000-0A00-000005000000}" name="Brand Safety _x000a_[% Failed by Language]" dataDxfId="352"/>
    <tableColumn id="6" xr3:uid="{00000000-0010-0000-0A00-000006000000}" name="Fraud _x000a_[% Fraud]" dataDxfId="351"/>
    <tableColumn id="7" xr3:uid="{00000000-0010-0000-0A00-000007000000}" name="Viewability _x000a_[Total Viewable Rate (Total Net Metrics)]" dataDxfId="350"/>
    <tableColumn id="8" xr3:uid="{00000000-0010-0000-0A00-000008000000}" name="Display Viewability _x000a_[Total Viewable Rate (Total Net Metrics)]" dataDxfId="349"/>
    <tableColumn id="26" xr3:uid="{00000000-0010-0000-0A00-00001A000000}" name="Video Viewability _x000a_[Total Viewable Rate (Total Net Metrics)]" dataDxfId="348">
      <calculatedColumnFormula array="1">SUM(
IF(DataCP[Video Viewability 
'[Total Viewable Rate (Total Net Metrics)']]&lt;&gt;"NULL",
IF(DataCP[Brand]=#REF!,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IF(DataCP[Brand]=#REF!,
SUBTOTAL(9,OFFSET(DataCP[Total Impressions],ROW(DataCP[Total Impressions])-MIN(ROW(DataCP[Total Impressions])),0,1)))))</calculatedColumnFormula>
    </tableColumn>
    <tableColumn id="9" xr3:uid="{00000000-0010-0000-0A00-000009000000}" name="GroupM Viewability _x000a_[% Display Ads Fully in View]" dataDxfId="347"/>
    <tableColumn id="24" xr3:uid="{00000000-0010-0000-0A00-000018000000}" name="GroupM Viewability _x000a_[% Videos Fully in View]" dataDxfId="346"/>
    <tableColumn id="10" xr3:uid="{00000000-0010-0000-0A00-00000A000000}" name="Publicis Viewability _x000a_[% Display Ads Fully in View]" dataDxfId="345"/>
    <tableColumn id="11" xr3:uid="{00000000-0010-0000-0A00-00000B000000}" name="Publicis Viewability _x000a_[% Videos Fully in View]" dataDxfId="344"/>
  </tableColumns>
  <tableStyleInfo name="New IAS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0B000000}" name="ColumnCP" displayName="ColumnCP" ref="J6:J13" totalsRowShown="0" headerRowDxfId="343" dataDxfId="341" headerRowBorderDxfId="342" tableBorderDxfId="340">
  <autoFilter ref="J6:J13" xr:uid="{00000000-0009-0000-0100-000026000000}"/>
  <tableColumns count="1">
    <tableColumn id="1" xr3:uid="{00000000-0010-0000-0B00-000001000000}" name="Metric" dataDxfId="339"/>
  </tableColumns>
  <tableStyleInfo name="New IAS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DataPP" displayName="DataPP" ref="B15:AA16" totalsRowShown="0" headerRowDxfId="338" dataDxfId="336" headerRowBorderDxfId="337" dataCellStyle="Percent">
  <autoFilter ref="B15:AA16" xr:uid="{00000000-0009-0000-0100-00000C000000}"/>
  <tableColumns count="26">
    <tableColumn id="74" xr3:uid="{00000000-0010-0000-0C00-00004A000000}" name="Partner Type" dataDxfId="335">
      <calculatedColumnFormula>IFERROR(
IF(DataT[[#Headers],[Region (Team)]]="Brand",VLOOKUP(DataPP[[#This Row],[Campaign]],Map_Campaign[],2,0),
IF(DataT[[#Headers],[Region (Team)]]="Region (Team)",VLOOKUP(DataPP[[#This Row],[Team]],Map_Team[],2,0),
IF(DataT[[#Headers],[Region (Team)]]="Region (Campaign)",VLOOKUP(DataPP[[#This Row],[Campaign]],Map_Campaign[],3,0),
IF(DataT[[#Headers],[Region (Team)]]="Partner Type",VLOOKUP(DataPP[[#This Row],[Partner]],Map_Partner[],2,0),
IF(DataT[[#Headers],[Region (Team)]]="Device Type",VLOOKUP(DataPP[[#This Row],[Placement]],Map_Placement[],3,0),
IF(DataT[[#Headers],[Region (Team)]]="Creative Size",VLOOKUP(DataPP[[#This Row],[Placement]],Map_Placement[],2,0),"Not a mapping option.")))))),
"[Unmapped]")</calculatedColumnFormula>
    </tableColumn>
    <tableColumn id="73" xr3:uid="{00000000-0010-0000-0C00-000049000000}" name="Team" dataDxfId="334"/>
    <tableColumn id="71" xr3:uid="{00000000-0010-0000-0C00-000047000000}" name="Campaign" dataDxfId="333"/>
    <tableColumn id="18" xr3:uid="{00000000-0010-0000-0C00-000012000000}" name="Partner" dataDxfId="332"/>
    <tableColumn id="38" xr3:uid="{00000000-0010-0000-0C00-000026000000}" name="Placement" dataDxfId="331"/>
    <tableColumn id="122" xr3:uid="{00000000-0010-0000-0C00-00007A000000}" name="Device Type" dataDxfId="330"/>
    <tableColumn id="75" xr3:uid="{00000000-0010-0000-0C00-00004B000000}" name="Blocking Status" dataDxfId="329"/>
    <tableColumn id="72" xr3:uid="{00000000-0010-0000-0C00-000048000000}" name="Measured Impressions" dataDxfId="328" dataCellStyle="Comma"/>
    <tableColumn id="4" xr3:uid="{00000000-0010-0000-0C00-000004000000}" name="Total Impressions" dataDxfId="327" dataCellStyle="Comma"/>
    <tableColumn id="5" xr3:uid="{00000000-0010-0000-0C00-000005000000}" name="Measured Rate _x000a_[% Measured]" dataDxfId="326" dataCellStyle="Percent"/>
    <tableColumn id="6" xr3:uid="{00000000-0010-0000-0C00-000006000000}" name="See-Through Rate _x000a_[% Visible]" dataDxfId="325" dataCellStyle="Percent"/>
    <tableColumn id="77" xr3:uid="{00000000-0010-0000-0C00-00004D000000}" name="Brand Safety _x000a_[% Passed]" dataDxfId="324" dataCellStyle="Percent"/>
    <tableColumn id="41" xr3:uid="{00000000-0010-0000-0C00-000029000000}" name="Brand Safety _x000a_[% Failed]" dataDxfId="323" dataCellStyle="Percent"/>
    <tableColumn id="60" xr3:uid="{00000000-0010-0000-0C00-00003C000000}" name="Brand Safety _x000a_[% Failed by Content]" dataDxfId="322" dataCellStyle="Percent"/>
    <tableColumn id="63" xr3:uid="{00000000-0010-0000-0C00-00003F000000}" name="Brand Safety _x000a_[% Failed by Geo]" dataDxfId="321" dataCellStyle="Percent"/>
    <tableColumn id="7" xr3:uid="{00000000-0010-0000-0C00-000007000000}" name="Brand Safety _x000a_[% Failed by Keyword]" dataDxfId="320" dataCellStyle="Percent"/>
    <tableColumn id="8" xr3:uid="{00000000-0010-0000-0C00-000008000000}" name="Brand Safety _x000a_[% Failed by Blacklist]" dataDxfId="319" dataCellStyle="Percent"/>
    <tableColumn id="9" xr3:uid="{00000000-0010-0000-0C00-000009000000}" name="Brand Safety _x000a_[% Failed by Language]" dataDxfId="318" dataCellStyle="Percent"/>
    <tableColumn id="10" xr3:uid="{00000000-0010-0000-0C00-00000A000000}" name="Fraud _x000a_[% Fraud]" dataDxfId="317" dataCellStyle="Percent"/>
    <tableColumn id="11" xr3:uid="{00000000-0010-0000-0C00-00000B000000}" name="Viewability _x000a_[Total Viewable Rate (Total Net Metrics)]" dataDxfId="316" dataCellStyle="Percent"/>
    <tableColumn id="2" xr3:uid="{00000000-0010-0000-0C00-000002000000}" name="Display Viewability _x000a_[Total Viewable Rate (Total Net Metrics)]" dataDxfId="315" dataCellStyle="Percent"/>
    <tableColumn id="78" xr3:uid="{00000000-0010-0000-0C00-00004E000000}" name="Video Viewability _x000a_[Total Viewable Rate (Total Net Metrics)]" dataDxfId="314" dataCellStyle="Percent"/>
    <tableColumn id="12" xr3:uid="{00000000-0010-0000-0C00-00000C000000}" name="GroupM Viewability _x000a_[% Display Ads Fully in View]" dataDxfId="313" dataCellStyle="Percent"/>
    <tableColumn id="76" xr3:uid="{00000000-0010-0000-0C00-00004C000000}" name="GroupM Viewability _x000a_[% Videos Fully in View]" dataDxfId="312" dataCellStyle="Percent"/>
    <tableColumn id="3" xr3:uid="{00000000-0010-0000-0C00-000003000000}" name="Publicis Viewability _x000a_[% Display Ads Fully in View]" dataDxfId="311" dataCellStyle="Percent"/>
    <tableColumn id="13" xr3:uid="{00000000-0010-0000-0C00-00000D000000}" name="Publicis Viewability _x000a_[% Videos Fully in View]" dataDxfId="310" dataCellStyle="Percent"/>
  </tableColumns>
  <tableStyleInfo name="New IAS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BenchmarksPP" displayName="BenchmarksPP" ref="K6:AA13" totalsRowShown="0" headerRowDxfId="309" dataDxfId="308">
  <autoFilter ref="K6:AA13" xr:uid="{00000000-0009-0000-0100-00000F000000}"/>
  <tableColumns count="17">
    <tableColumn id="1" xr3:uid="{00000000-0010-0000-0D00-000001000000}" name="Measured Rate _x000a_[% Measured]" dataDxfId="307"/>
    <tableColumn id="2" xr3:uid="{00000000-0010-0000-0D00-000002000000}" name="See-Through Rate _x000a_[% Visible]" dataDxfId="306"/>
    <tableColumn id="25" xr3:uid="{00000000-0010-0000-0D00-000019000000}" name="Brand Safety _x000a_[% Passed]" dataDxfId="305">
      <calculatedColumnFormula array="1">SUM(
(DataPP[Brand Safety 
'[% Passed']]&lt;&gt;"NULL")*
DataPP[Brand Safety 
'[% Passed']]*SUBTOTAL(9,OFFSET(DataPP[Total Impressions],ROW(DataPP[Total Impressions])-MIN(ROW(DataPP[Total Impressions])),0,1)))
/
SUM(
(DataPP[Brand Safety 
'[% Passed']]&lt;&gt;"NULL")*
SUBTOTAL(9,OFFSET(DataPP[Total Impressions],ROW(DataPP[Total Impressions])-MIN(ROW(DataPP[Total Impressions])),0,1)))</calculatedColumnFormula>
    </tableColumn>
    <tableColumn id="23" xr3:uid="{00000000-0010-0000-0D00-000017000000}" name="Brand Safety _x000a_[% Failed]" dataDxfId="304"/>
    <tableColumn id="36" xr3:uid="{00000000-0010-0000-0D00-000024000000}" name="Brand Safety _x000a_[% Failed by Content]" dataDxfId="303"/>
    <tableColumn id="16" xr3:uid="{00000000-0010-0000-0D00-000010000000}" name="Brand Safety _x000a_[% Failed by Geo]" dataDxfId="302"/>
    <tableColumn id="3" xr3:uid="{00000000-0010-0000-0D00-000003000000}" name="Brand Safety _x000a_[% Failed by Keyword]" dataDxfId="301"/>
    <tableColumn id="4" xr3:uid="{00000000-0010-0000-0D00-000004000000}" name="Brand Safety _x000a_[% Failed by Blacklist]" dataDxfId="300"/>
    <tableColumn id="5" xr3:uid="{00000000-0010-0000-0D00-000005000000}" name="Brand Safety _x000a_[% Failed by Language]" dataDxfId="299"/>
    <tableColumn id="6" xr3:uid="{00000000-0010-0000-0D00-000006000000}" name="Fraud _x000a_[% Fraud]" dataDxfId="298"/>
    <tableColumn id="7" xr3:uid="{00000000-0010-0000-0D00-000007000000}" name="Viewability _x000a_[Total Viewable Rate (Total Net Metrics)]" dataDxfId="297"/>
    <tableColumn id="8" xr3:uid="{00000000-0010-0000-0D00-000008000000}" name="Display Viewability _x000a_[Total Viewable Rate (Total Net Metrics)]" dataDxfId="296"/>
    <tableColumn id="26" xr3:uid="{00000000-0010-0000-0D00-00001A000000}" name="Video Viewability _x000a_[Total Viewable Rate (Total Net Metrics)]" dataDxfId="295">
      <calculatedColumnFormula array="1">SUM(
IF(DataPP[Video Viewability 
'[Total Viewable Rate (Total Net Metrics)']]&lt;&gt;"NULL",
IF(DataPP[Partner Type]=#REF!,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IF(DataPP[Partner Type]=#REF!,
SUBTOTAL(9,OFFSET(DataPP[Total Impressions],ROW(DataPP[Total Impressions])-MIN(ROW(DataPP[Total Impressions])),0,1)))))</calculatedColumnFormula>
    </tableColumn>
    <tableColumn id="9" xr3:uid="{00000000-0010-0000-0D00-000009000000}" name="GroupM Viewability _x000a_[% Display Ads Fully in View]" dataDxfId="294"/>
    <tableColumn id="24" xr3:uid="{00000000-0010-0000-0D00-000018000000}" name="GroupM Viewability _x000a_[% Videos Fully in View]" dataDxfId="293"/>
    <tableColumn id="10" xr3:uid="{00000000-0010-0000-0D00-00000A000000}" name="Publicis Viewability _x000a_[% Display Ads Fully in View]" dataDxfId="292"/>
    <tableColumn id="11" xr3:uid="{00000000-0010-0000-0D00-00000B000000}" name="Publicis Viewability _x000a_[% Videos Fully in View]" dataDxfId="291"/>
  </tableColumns>
  <tableStyleInfo name="New IAS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0E000000}" name="ColumnPP" displayName="ColumnPP" ref="J6:J13" totalsRowShown="0" headerRowDxfId="290" dataDxfId="288" headerRowBorderDxfId="289" tableBorderDxfId="287">
  <autoFilter ref="J6:J13" xr:uid="{00000000-0009-0000-0100-000027000000}"/>
  <tableColumns count="1">
    <tableColumn id="1" xr3:uid="{00000000-0010-0000-0E00-000001000000}" name="Metric" dataDxfId="286"/>
  </tableColumns>
  <tableStyleInfo name="New IAS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F000000}" name="DataD" displayName="DataD" ref="B15:AA16" totalsRowShown="0" headerRowDxfId="285" dataDxfId="283" headerRowBorderDxfId="284" dataCellStyle="Percent">
  <autoFilter ref="B15:AA16" xr:uid="{00000000-0009-0000-0100-00001B000000}"/>
  <tableColumns count="26">
    <tableColumn id="74" xr3:uid="{00000000-0010-0000-0F00-00004A000000}" name="NO MAPPING" dataDxfId="282"/>
    <tableColumn id="73" xr3:uid="{00000000-0010-0000-0F00-000049000000}" name="Team" dataDxfId="281"/>
    <tableColumn id="71" xr3:uid="{00000000-0010-0000-0F00-000047000000}" name="Campaign" dataDxfId="280"/>
    <tableColumn id="18" xr3:uid="{00000000-0010-0000-0F00-000012000000}" name="Partner" dataDxfId="279"/>
    <tableColumn id="38" xr3:uid="{00000000-0010-0000-0F00-000026000000}" name="Placement" dataDxfId="278"/>
    <tableColumn id="122" xr3:uid="{00000000-0010-0000-0F00-00007A000000}" name="Device Type" dataDxfId="277"/>
    <tableColumn id="75" xr3:uid="{00000000-0010-0000-0F00-00004B000000}" name="Blocking Status" dataDxfId="276"/>
    <tableColumn id="72" xr3:uid="{00000000-0010-0000-0F00-000048000000}" name="Measured Impressions" dataDxfId="275" dataCellStyle="Comma"/>
    <tableColumn id="4" xr3:uid="{00000000-0010-0000-0F00-000004000000}" name="Total Impressions" dataDxfId="274" dataCellStyle="Comma"/>
    <tableColumn id="5" xr3:uid="{00000000-0010-0000-0F00-000005000000}" name="Measured Rate _x000a_[% Measured]" dataDxfId="273" dataCellStyle="Percent"/>
    <tableColumn id="6" xr3:uid="{00000000-0010-0000-0F00-000006000000}" name="See-Through Rate _x000a_[% Visible]" dataDxfId="272" dataCellStyle="Percent"/>
    <tableColumn id="77" xr3:uid="{00000000-0010-0000-0F00-00004D000000}" name="Brand Safety _x000a_[% Passed]" dataDxfId="271" dataCellStyle="Percent"/>
    <tableColumn id="41" xr3:uid="{00000000-0010-0000-0F00-000029000000}" name="Brand Safety _x000a_[% Failed]" dataDxfId="270" dataCellStyle="Percent"/>
    <tableColumn id="60" xr3:uid="{00000000-0010-0000-0F00-00003C000000}" name="Brand Safety _x000a_[% Failed by Content]" dataDxfId="269" dataCellStyle="Percent"/>
    <tableColumn id="63" xr3:uid="{00000000-0010-0000-0F00-00003F000000}" name="Brand Safety _x000a_[% Failed by Geo]" dataDxfId="268" dataCellStyle="Percent"/>
    <tableColumn id="7" xr3:uid="{00000000-0010-0000-0F00-000007000000}" name="Brand Safety _x000a_[% Failed by Keyword]" dataDxfId="267" dataCellStyle="Percent"/>
    <tableColumn id="8" xr3:uid="{00000000-0010-0000-0F00-000008000000}" name="Brand Safety _x000a_[% Failed by Blacklist]" dataDxfId="266" dataCellStyle="Percent"/>
    <tableColumn id="9" xr3:uid="{00000000-0010-0000-0F00-000009000000}" name="Brand Safety _x000a_[% Failed by Language]" dataDxfId="265" dataCellStyle="Percent"/>
    <tableColumn id="10" xr3:uid="{00000000-0010-0000-0F00-00000A000000}" name="Fraud _x000a_[% Fraud]" dataDxfId="264" dataCellStyle="Percent"/>
    <tableColumn id="11" xr3:uid="{00000000-0010-0000-0F00-00000B000000}" name="Viewability _x000a_[Total Viewable Rate (Total Net Metrics)]" dataDxfId="263" dataCellStyle="Percent"/>
    <tableColumn id="2" xr3:uid="{00000000-0010-0000-0F00-000002000000}" name="Display Viewability _x000a_[Total Viewable Rate (Total Net Metrics)]" dataDxfId="262" dataCellStyle="Percent"/>
    <tableColumn id="78" xr3:uid="{00000000-0010-0000-0F00-00004E000000}" name="Video Viewability _x000a_[Total Viewable Rate (Total Net Metrics)]" dataDxfId="261" dataCellStyle="Percent"/>
    <tableColumn id="12" xr3:uid="{00000000-0010-0000-0F00-00000C000000}" name="GroupM Viewability _x000a_[% Display Ads Fully in View]" dataDxfId="260" dataCellStyle="Percent"/>
    <tableColumn id="76" xr3:uid="{00000000-0010-0000-0F00-00004C000000}" name="GroupM Viewability _x000a_[% Videos Fully in View]" dataDxfId="259" dataCellStyle="Percent"/>
    <tableColumn id="3" xr3:uid="{00000000-0010-0000-0F00-000003000000}" name="Publicis Viewability _x000a_[% Display Ads Fully in View]" dataDxfId="258" dataCellStyle="Percent"/>
    <tableColumn id="13" xr3:uid="{00000000-0010-0000-0F00-00000D000000}" name="Publicis Viewability _x000a_[% Videos Fully in View]" dataDxfId="257" dataCellStyle="Percent"/>
  </tableColumns>
  <tableStyleInfo name="New IAS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0000000}" name="BenchmarksD" displayName="BenchmarksD" ref="K6:AA13" totalsRowShown="0" headerRowDxfId="256" dataDxfId="255">
  <autoFilter ref="K6:AA13" xr:uid="{00000000-0009-0000-0100-00001C000000}"/>
  <tableColumns count="17">
    <tableColumn id="1" xr3:uid="{00000000-0010-0000-1000-000001000000}" name="Measured Rate _x000a_[% Measured]" dataDxfId="254"/>
    <tableColumn id="2" xr3:uid="{00000000-0010-0000-1000-000002000000}" name="See-Through Rate _x000a_[% Visible]" dataDxfId="253"/>
    <tableColumn id="25" xr3:uid="{00000000-0010-0000-1000-000019000000}" name="Brand Safety _x000a_[% Passed]" dataDxfId="252">
      <calculatedColumnFormula array="1">SUM(
(DataD[Brand Safety 
'[% Passed']]&lt;&gt;"NULL")*
DataD[Brand Safety 
'[% Passed']]*SUBTOTAL(9,OFFSET(DataD[Total Impressions],ROW(DataD[Total Impressions])-MIN(ROW(DataD[Total Impressions])),0,1)))
/
SUM(
(DataD[Brand Safety 
'[% Passed']]&lt;&gt;"NULL")*
SUBTOTAL(9,OFFSET(DataD[Total Impressions],ROW(DataD[Total Impressions])-MIN(ROW(DataD[Total Impressions])),0,1)))</calculatedColumnFormula>
    </tableColumn>
    <tableColumn id="23" xr3:uid="{00000000-0010-0000-1000-000017000000}" name="Brand Safety _x000a_[% Failed]" dataDxfId="251"/>
    <tableColumn id="36" xr3:uid="{00000000-0010-0000-1000-000024000000}" name="Brand Safety _x000a_[% Failed by Content]" dataDxfId="250"/>
    <tableColumn id="16" xr3:uid="{00000000-0010-0000-1000-000010000000}" name="Brand Safety _x000a_[% Failed by Geo]" dataDxfId="249"/>
    <tableColumn id="3" xr3:uid="{00000000-0010-0000-1000-000003000000}" name="Brand Safety _x000a_[% Failed by Keyword]" dataDxfId="248"/>
    <tableColumn id="4" xr3:uid="{00000000-0010-0000-1000-000004000000}" name="Brand Safety _x000a_[% Failed by Blacklist]" dataDxfId="247"/>
    <tableColumn id="5" xr3:uid="{00000000-0010-0000-1000-000005000000}" name="Brand Safety _x000a_[% Failed by Language]" dataDxfId="246"/>
    <tableColumn id="6" xr3:uid="{00000000-0010-0000-1000-000006000000}" name="Fraud _x000a_[% Fraud]" dataDxfId="245"/>
    <tableColumn id="7" xr3:uid="{00000000-0010-0000-1000-000007000000}" name="Viewability _x000a_[Total Viewable Rate (Total Net Metrics)]" dataDxfId="244"/>
    <tableColumn id="8" xr3:uid="{00000000-0010-0000-1000-000008000000}" name="Display Viewability _x000a_[Total Viewable Rate (Total Net Metrics)]" dataDxfId="243"/>
    <tableColumn id="26" xr3:uid="{00000000-0010-0000-1000-00001A000000}" name="Video Viewability _x000a_[Total Viewable Rate (Total Net Metrics)]" dataDxfId="242">
      <calculatedColumnFormula array="1">SUM(
IF(DataD[Video Viewability 
'[Total Viewable Rate (Total Net Metrics)']]&lt;&gt;"NULL",
IF(DataD[NO MAPPING]=#REF!,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IF(DataD[NO MAPPING]=#REF!,
SUBTOTAL(9,OFFSET(DataD[Total Impressions],ROW(DataD[Total Impressions])-MIN(ROW(DataD[Total Impressions])),0,1)))))</calculatedColumnFormula>
    </tableColumn>
    <tableColumn id="9" xr3:uid="{00000000-0010-0000-1000-000009000000}" name="GroupM Viewability _x000a_[% Display Ads Fully in View]" dataDxfId="241"/>
    <tableColumn id="24" xr3:uid="{00000000-0010-0000-1000-000018000000}" name="GroupM Viewability _x000a_[% Videos Fully in View]" dataDxfId="240"/>
    <tableColumn id="10" xr3:uid="{00000000-0010-0000-1000-00000A000000}" name="Publicis Viewability _x000a_[% Display Ads Fully in View]" dataDxfId="239"/>
    <tableColumn id="11" xr3:uid="{00000000-0010-0000-1000-00000B000000}" name="Publicis Viewability _x000a_[% Videos Fully in View]" dataDxfId="238"/>
  </tableColumns>
  <tableStyleInfo name="New IAS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1000000}" name="ColumnD" displayName="ColumnD" ref="J6:J13" totalsRowShown="0" headerRowDxfId="237" dataDxfId="235" headerRowBorderDxfId="236" tableBorderDxfId="234">
  <autoFilter ref="J6:J13" xr:uid="{00000000-0009-0000-0100-000028000000}"/>
  <tableColumns count="1">
    <tableColumn id="1" xr3:uid="{00000000-0010-0000-1100-000001000000}" name="Metric" dataDxfId="233"/>
  </tableColumns>
  <tableStyleInfo name="New IAS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2000000}" name="DataCD" displayName="DataCD" ref="B15:AA16" totalsRowShown="0" headerRowDxfId="232" dataDxfId="230" headerRowBorderDxfId="231" dataCellStyle="Percent">
  <autoFilter ref="B15:AA16" xr:uid="{00000000-0009-0000-0100-000011000000}"/>
  <tableColumns count="26">
    <tableColumn id="74" xr3:uid="{00000000-0010-0000-1200-00004A000000}" name="Brand" dataDxfId="229">
      <calculatedColumnFormula>IFERROR(
IF(DataCD[[#Headers],[Brand]]="Brand",VLOOKUP(DataCD[[#This Row],[Campaign]],Map_Campaign[],2,0),
IF(DataCD[[#Headers],[Brand]]="Region (Team)",VLOOKUP(DataCD[[#This Row],[Team]],Map_Team[],2,0),
IF(DataCD[[#Headers],[Brand]]="Region (Campaign)",VLOOKUP(DataCD[[#This Row],[Campaign]],Map_Campaign[],3,0),
IF(DataCD[[#Headers],[Brand]]="Partner Type",VLOOKUP(DataCD[[#This Row],[Partner]],Map_Partner[],2,0),
IF(DataCD[[#Headers],[Brand]]="Device Type",VLOOKUP(DataCD[[#This Row],[Placement]],Map_Placement[],3,0),
IF(DataCD[[#Headers],[Brand]]="Creative Size",VLOOKUP(DataCD[[#This Row],[Placement]],Map_Placement[],2,0),"Not a mapping option.")))))),
"[Unmapped]")</calculatedColumnFormula>
    </tableColumn>
    <tableColumn id="73" xr3:uid="{00000000-0010-0000-1200-000049000000}" name="Team" dataDxfId="228"/>
    <tableColumn id="71" xr3:uid="{00000000-0010-0000-1200-000047000000}" name="Campaign" dataDxfId="227"/>
    <tableColumn id="18" xr3:uid="{00000000-0010-0000-1200-000012000000}" name="Partner" dataDxfId="226"/>
    <tableColumn id="38" xr3:uid="{00000000-0010-0000-1200-000026000000}" name="Placement" dataDxfId="225"/>
    <tableColumn id="122" xr3:uid="{00000000-0010-0000-1200-00007A000000}" name="Device Type" dataDxfId="224"/>
    <tableColumn id="75" xr3:uid="{00000000-0010-0000-1200-00004B000000}" name="Blocking Status" dataDxfId="223"/>
    <tableColumn id="72" xr3:uid="{00000000-0010-0000-1200-000048000000}" name="Measured Impressions" dataDxfId="222" dataCellStyle="Comma"/>
    <tableColumn id="4" xr3:uid="{00000000-0010-0000-1200-000004000000}" name="Total Impressions" dataDxfId="221" dataCellStyle="Comma"/>
    <tableColumn id="5" xr3:uid="{00000000-0010-0000-1200-000005000000}" name="Measured Rate _x000a_[% Measured]" dataDxfId="220" dataCellStyle="Percent"/>
    <tableColumn id="6" xr3:uid="{00000000-0010-0000-1200-000006000000}" name="See-Through Rate _x000a_[% Visible]" dataDxfId="219" dataCellStyle="Percent"/>
    <tableColumn id="77" xr3:uid="{00000000-0010-0000-1200-00004D000000}" name="Brand Safety _x000a_[% Passed]" dataDxfId="218" dataCellStyle="Percent"/>
    <tableColumn id="41" xr3:uid="{00000000-0010-0000-1200-000029000000}" name="Brand Safety _x000a_[% Failed]" dataDxfId="217" dataCellStyle="Percent"/>
    <tableColumn id="60" xr3:uid="{00000000-0010-0000-1200-00003C000000}" name="Brand Safety _x000a_[% Failed by Content]" dataDxfId="216" dataCellStyle="Percent"/>
    <tableColumn id="63" xr3:uid="{00000000-0010-0000-1200-00003F000000}" name="Brand Safety _x000a_[% Failed by Geo]" dataDxfId="215" dataCellStyle="Percent"/>
    <tableColumn id="7" xr3:uid="{00000000-0010-0000-1200-000007000000}" name="Brand Safety _x000a_[% Failed by Keyword]" dataDxfId="214" dataCellStyle="Percent"/>
    <tableColumn id="8" xr3:uid="{00000000-0010-0000-1200-000008000000}" name="Brand Safety _x000a_[% Failed by Blacklist]" dataDxfId="213" dataCellStyle="Percent"/>
    <tableColumn id="9" xr3:uid="{00000000-0010-0000-1200-000009000000}" name="Brand Safety _x000a_[% Failed by Language]" dataDxfId="212" dataCellStyle="Percent"/>
    <tableColumn id="10" xr3:uid="{00000000-0010-0000-1200-00000A000000}" name="Fraud _x000a_[% Fraud]" dataDxfId="211" dataCellStyle="Percent"/>
    <tableColumn id="11" xr3:uid="{00000000-0010-0000-1200-00000B000000}" name="Viewability _x000a_[Total Viewable Rate (Total Net Metrics)]" dataDxfId="210" dataCellStyle="Percent"/>
    <tableColumn id="2" xr3:uid="{00000000-0010-0000-1200-000002000000}" name="Display Viewability _x000a_[Total Viewable Rate (Total Net Metrics)]" dataDxfId="209" dataCellStyle="Percent"/>
    <tableColumn id="78" xr3:uid="{00000000-0010-0000-1200-00004E000000}" name="Video Viewability _x000a_[Total Viewable Rate (Total Net Metrics)]" dataDxfId="208" dataCellStyle="Percent"/>
    <tableColumn id="12" xr3:uid="{00000000-0010-0000-1200-00000C000000}" name="GroupM Viewability _x000a_[% Display Ads Fully in View]" dataDxfId="207" dataCellStyle="Percent"/>
    <tableColumn id="76" xr3:uid="{00000000-0010-0000-1200-00004C000000}" name="GroupM Viewability _x000a_[% Videos Fully in View]" dataDxfId="206" dataCellStyle="Percent"/>
    <tableColumn id="3" xr3:uid="{00000000-0010-0000-1200-000003000000}" name="Publicis Viewability _x000a_[% Display Ads Fully in View]" dataDxfId="205" dataCellStyle="Percent"/>
    <tableColumn id="13" xr3:uid="{00000000-0010-0000-1200-00000D000000}" name="Publicis Viewability _x000a_[% Videos Fully in View]" dataDxfId="204" dataCellStyle="Percent"/>
  </tableColumns>
  <tableStyleInfo name="New IAS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BenchmarksCD" displayName="BenchmarksCD" ref="K6:AA13" totalsRowShown="0" headerRowDxfId="203" dataDxfId="202">
  <autoFilter ref="K6:AA13" xr:uid="{00000000-0009-0000-0100-000016000000}"/>
  <tableColumns count="17">
    <tableColumn id="1" xr3:uid="{00000000-0010-0000-1300-000001000000}" name="Measured Rate _x000a_[% Measured]" dataDxfId="201"/>
    <tableColumn id="2" xr3:uid="{00000000-0010-0000-1300-000002000000}" name="See-Through Rate _x000a_[% Visible]" dataDxfId="200"/>
    <tableColumn id="25" xr3:uid="{00000000-0010-0000-1300-000019000000}" name="Brand Safety _x000a_[% Passed]" dataDxfId="199">
      <calculatedColumnFormula array="1">SUM(
(DataCD[Brand Safety 
'[% Passed']]&lt;&gt;"NULL")*
DataCD[Brand Safety 
'[% Passed']]*SUBTOTAL(9,OFFSET(DataCD[Total Impressions],ROW(DataCD[Total Impressions])-MIN(ROW(DataCD[Total Impressions])),0,1)))
/
SUM(
(DataCD[Brand Safety 
'[% Passed']]&lt;&gt;"NULL")*
SUBTOTAL(9,OFFSET(DataCD[Total Impressions],ROW(DataCD[Total Impressions])-MIN(ROW(DataCD[Total Impressions])),0,1)))</calculatedColumnFormula>
    </tableColumn>
    <tableColumn id="23" xr3:uid="{00000000-0010-0000-1300-000017000000}" name="Brand Safety _x000a_[% Failed]" dataDxfId="198"/>
    <tableColumn id="36" xr3:uid="{00000000-0010-0000-1300-000024000000}" name="Brand Safety _x000a_[% Failed by Content]" dataDxfId="197"/>
    <tableColumn id="16" xr3:uid="{00000000-0010-0000-1300-000010000000}" name="Brand Safety _x000a_[% Failed by Geo]" dataDxfId="196"/>
    <tableColumn id="3" xr3:uid="{00000000-0010-0000-1300-000003000000}" name="Brand Safety _x000a_[% Failed by Keyword]" dataDxfId="195"/>
    <tableColumn id="4" xr3:uid="{00000000-0010-0000-1300-000004000000}" name="Brand Safety _x000a_[% Failed by Blacklist]" dataDxfId="194"/>
    <tableColumn id="5" xr3:uid="{00000000-0010-0000-1300-000005000000}" name="Brand Safety _x000a_[% Failed by Language]" dataDxfId="193"/>
    <tableColumn id="6" xr3:uid="{00000000-0010-0000-1300-000006000000}" name="Fraud _x000a_[% Fraud]" dataDxfId="192"/>
    <tableColumn id="7" xr3:uid="{00000000-0010-0000-1300-000007000000}" name="Viewability _x000a_[Total Viewable Rate (Total Net Metrics)]" dataDxfId="191"/>
    <tableColumn id="8" xr3:uid="{00000000-0010-0000-1300-000008000000}" name="Display Viewability _x000a_[Total Viewable Rate (Total Net Metrics)]" dataDxfId="190"/>
    <tableColumn id="26" xr3:uid="{00000000-0010-0000-1300-00001A000000}" name="Video Viewability _x000a_[Total Viewable Rate (Total Net Metrics)]" dataDxfId="189">
      <calculatedColumnFormula array="1">SUM(
IF(DataCD[Video Viewability 
'[Total Viewable Rate (Total Net Metrics)']]&lt;&gt;"NULL",
IF(DataCD[Brand]=#REF!,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IF(DataCD[Brand]=#REF!,
SUBTOTAL(9,OFFSET(DataCD[Total Impressions],ROW(DataCD[Total Impressions])-MIN(ROW(DataCD[Total Impressions])),0,1)))))</calculatedColumnFormula>
    </tableColumn>
    <tableColumn id="9" xr3:uid="{00000000-0010-0000-1300-000009000000}" name="GroupM Viewability _x000a_[% Display Ads Fully in View]" dataDxfId="188"/>
    <tableColumn id="24" xr3:uid="{00000000-0010-0000-1300-000018000000}" name="GroupM Viewability _x000a_[% Videos Fully in View]" dataDxfId="187"/>
    <tableColumn id="10" xr3:uid="{00000000-0010-0000-1300-00000A000000}" name="Publicis Viewability _x000a_[% Display Ads Fully in View]" dataDxfId="186"/>
    <tableColumn id="11" xr3:uid="{00000000-0010-0000-1300-00000B000000}" name="Publicis Viewability _x000a_[% Videos Fully in View]" dataDxfId="185"/>
  </tableColumns>
  <tableStyleInfo name="New IAS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14000000}" name="ColumnCD" displayName="ColumnCD" ref="J6:J13" totalsRowShown="0" headerRowDxfId="184" dataDxfId="182" headerRowBorderDxfId="183" tableBorderDxfId="181">
  <autoFilter ref="J6:J13" xr:uid="{00000000-0009-0000-0100-000029000000}"/>
  <tableColumns count="1">
    <tableColumn id="1" xr3:uid="{00000000-0010-0000-1400-000001000000}" name="Metric" dataDxfId="180"/>
  </tableColumns>
  <tableStyleInfo name="New IAS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5000000}" name="DataPD" displayName="DataPD" ref="B15:AA16" totalsRowShown="0" headerRowDxfId="179" dataDxfId="177" headerRowBorderDxfId="178" dataCellStyle="Percent">
  <autoFilter ref="B15:AA16" xr:uid="{00000000-0009-0000-0100-000018000000}"/>
  <tableColumns count="26">
    <tableColumn id="74" xr3:uid="{00000000-0010-0000-1500-00004A000000}" name="Partner Type" dataDxfId="176">
      <calculatedColumnFormula>IFERROR(
IF(DataPD[[#Headers],[Partner Type]]="Brand",VLOOKUP(DataPD[[#This Row],[Campaign]],Map_Campaign[],2,0),
IF(DataPD[[#Headers],[Partner Type]]="Region (Team)",VLOOKUP(DataPD[[#This Row],[Team]],Map_Team[],2,0),
IF(DataPD[[#Headers],[Partner Type]]="Region (Campaign)",VLOOKUP(DataPD[[#This Row],[Campaign]],Map_Campaign[],3,0),
IF(DataPD[[#Headers],[Partner Type]]="Partner Type",VLOOKUP(DataPD[[#This Row],[Partner]],Map_Partner[],2,0),
IF(DataPD[[#Headers],[Partner Type]]="Device Type",VLOOKUP(DataPD[[#This Row],[Placement]],Map_Placement[],3,0),
IF(DataPD[[#Headers],[Partner Type]]="Creative Size",VLOOKUP(DataPD[[#This Row],[Placement]],Map_Placement[],2,0),"Not a mapping option.")))))),
"[Unmapped]")</calculatedColumnFormula>
    </tableColumn>
    <tableColumn id="73" xr3:uid="{00000000-0010-0000-1500-000049000000}" name="Team" dataDxfId="175"/>
    <tableColumn id="71" xr3:uid="{00000000-0010-0000-1500-000047000000}" name="Campaign" dataDxfId="174"/>
    <tableColumn id="18" xr3:uid="{00000000-0010-0000-1500-000012000000}" name="Partner" dataDxfId="173"/>
    <tableColumn id="38" xr3:uid="{00000000-0010-0000-1500-000026000000}" name="Placement" dataDxfId="172"/>
    <tableColumn id="122" xr3:uid="{00000000-0010-0000-1500-00007A000000}" name="Device Type" dataDxfId="171"/>
    <tableColumn id="75" xr3:uid="{00000000-0010-0000-1500-00004B000000}" name="Blocking Status" dataDxfId="170"/>
    <tableColumn id="72" xr3:uid="{00000000-0010-0000-1500-000048000000}" name="Measured Impressions" dataDxfId="169" dataCellStyle="Comma"/>
    <tableColumn id="4" xr3:uid="{00000000-0010-0000-1500-000004000000}" name="Total Impressions" dataDxfId="168" dataCellStyle="Comma"/>
    <tableColumn id="5" xr3:uid="{00000000-0010-0000-1500-000005000000}" name="Measured Rate _x000a_[% Measured]" dataDxfId="167" dataCellStyle="Percent"/>
    <tableColumn id="6" xr3:uid="{00000000-0010-0000-1500-000006000000}" name="See-Through Rate _x000a_[% Visible]" dataDxfId="166" dataCellStyle="Percent"/>
    <tableColumn id="77" xr3:uid="{00000000-0010-0000-1500-00004D000000}" name="Brand Safety _x000a_[% Passed]" dataDxfId="165" dataCellStyle="Percent"/>
    <tableColumn id="41" xr3:uid="{00000000-0010-0000-1500-000029000000}" name="Brand Safety _x000a_[% Failed]" dataDxfId="164" dataCellStyle="Percent"/>
    <tableColumn id="60" xr3:uid="{00000000-0010-0000-1500-00003C000000}" name="Brand Safety _x000a_[% Failed by Content]" dataDxfId="163" dataCellStyle="Percent"/>
    <tableColumn id="63" xr3:uid="{00000000-0010-0000-1500-00003F000000}" name="Brand Safety _x000a_[% Failed by Geo]" dataDxfId="162" dataCellStyle="Percent"/>
    <tableColumn id="7" xr3:uid="{00000000-0010-0000-1500-000007000000}" name="Brand Safety _x000a_[% Failed by Keyword]" dataDxfId="161" dataCellStyle="Percent"/>
    <tableColumn id="8" xr3:uid="{00000000-0010-0000-1500-000008000000}" name="Brand Safety _x000a_[% Failed by Blacklist]" dataDxfId="160" dataCellStyle="Percent"/>
    <tableColumn id="9" xr3:uid="{00000000-0010-0000-1500-000009000000}" name="Brand Safety _x000a_[% Failed by Language]" dataDxfId="159" dataCellStyle="Percent"/>
    <tableColumn id="10" xr3:uid="{00000000-0010-0000-1500-00000A000000}" name="Fraud _x000a_[% Fraud]" dataDxfId="158" dataCellStyle="Percent"/>
    <tableColumn id="11" xr3:uid="{00000000-0010-0000-1500-00000B000000}" name="Viewability _x000a_[Total Viewable Rate (Total Net Metrics)]" dataDxfId="157" dataCellStyle="Percent"/>
    <tableColumn id="2" xr3:uid="{00000000-0010-0000-1500-000002000000}" name="Display Viewability _x000a_[Total Viewable Rate (Total Net Metrics)]" dataDxfId="156" dataCellStyle="Percent"/>
    <tableColumn id="78" xr3:uid="{00000000-0010-0000-1500-00004E000000}" name="Video Viewability _x000a_[Total Viewable Rate (Total Net Metrics)]" dataDxfId="155" dataCellStyle="Percent"/>
    <tableColumn id="12" xr3:uid="{00000000-0010-0000-1500-00000C000000}" name="GroupM Viewability _x000a_[% Display Ads Fully in View]" dataDxfId="154" dataCellStyle="Percent"/>
    <tableColumn id="76" xr3:uid="{00000000-0010-0000-1500-00004C000000}" name="GroupM Viewability _x000a_[% Videos Fully in View]" dataDxfId="153" dataCellStyle="Percent"/>
    <tableColumn id="3" xr3:uid="{00000000-0010-0000-1500-000003000000}" name="Publicis Viewability _x000a_[% Display Ads Fully in View]" dataDxfId="152" dataCellStyle="Percent"/>
    <tableColumn id="13" xr3:uid="{00000000-0010-0000-1500-00000D000000}" name="Publicis Viewability _x000a_[% Videos Fully in View]" dataDxfId="151" dataCellStyle="Percent"/>
  </tableColumns>
  <tableStyleInfo name="New IAS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BenchmarksPD" displayName="BenchmarksPD" ref="K6:AA13" totalsRowShown="0" headerRowDxfId="150" dataDxfId="149">
  <autoFilter ref="K6:AA13" xr:uid="{00000000-0009-0000-0100-000019000000}"/>
  <tableColumns count="17">
    <tableColumn id="1" xr3:uid="{00000000-0010-0000-1600-000001000000}" name="Measured Rate _x000a_[% Measured]" dataDxfId="148"/>
    <tableColumn id="2" xr3:uid="{00000000-0010-0000-1600-000002000000}" name="See-Through Rate _x000a_[% Visible]" dataDxfId="147"/>
    <tableColumn id="25" xr3:uid="{00000000-0010-0000-1600-000019000000}" name="Brand Safety _x000a_[% Passed]" dataDxfId="146">
      <calculatedColumnFormula array="1">SUM(
(DataPD[Brand Safety 
'[% Passed']]&lt;&gt;"NULL")*
DataPD[Brand Safety 
'[% Passed']]*SUBTOTAL(9,OFFSET(DataPD[Total Impressions],ROW(DataPD[Total Impressions])-MIN(ROW(DataPD[Total Impressions])),0,1)))
/
SUM(
(DataPD[Brand Safety 
'[% Passed']]&lt;&gt;"NULL")*
SUBTOTAL(9,OFFSET(DataPD[Total Impressions],ROW(DataPD[Total Impressions])-MIN(ROW(DataPD[Total Impressions])),0,1)))</calculatedColumnFormula>
    </tableColumn>
    <tableColumn id="23" xr3:uid="{00000000-0010-0000-1600-000017000000}" name="Brand Safety _x000a_[% Failed]" dataDxfId="145"/>
    <tableColumn id="36" xr3:uid="{00000000-0010-0000-1600-000024000000}" name="Brand Safety _x000a_[% Failed by Content]" dataDxfId="144"/>
    <tableColumn id="16" xr3:uid="{00000000-0010-0000-1600-000010000000}" name="Brand Safety _x000a_[% Failed by Geo]" dataDxfId="143"/>
    <tableColumn id="3" xr3:uid="{00000000-0010-0000-1600-000003000000}" name="Brand Safety _x000a_[% Failed by Keyword]" dataDxfId="142"/>
    <tableColumn id="4" xr3:uid="{00000000-0010-0000-1600-000004000000}" name="Brand Safety _x000a_[% Failed by Blacklist]" dataDxfId="141"/>
    <tableColumn id="5" xr3:uid="{00000000-0010-0000-1600-000005000000}" name="Brand Safety _x000a_[% Failed by Language]" dataDxfId="140"/>
    <tableColumn id="6" xr3:uid="{00000000-0010-0000-1600-000006000000}" name="Fraud _x000a_[% Fraud]" dataDxfId="139"/>
    <tableColumn id="7" xr3:uid="{00000000-0010-0000-1600-000007000000}" name="Viewability _x000a_[Total Viewable Rate (Total Net Metrics)]" dataDxfId="138"/>
    <tableColumn id="8" xr3:uid="{00000000-0010-0000-1600-000008000000}" name="Display Viewability _x000a_[Total Viewable Rate (Total Net Metrics)]" dataDxfId="137"/>
    <tableColumn id="26" xr3:uid="{00000000-0010-0000-1600-00001A000000}" name="Video Viewability _x000a_[Total Viewable Rate (Total Net Metrics)]" dataDxfId="136">
      <calculatedColumnFormula array="1">SUM(
IF(DataPD[Video Viewability 
'[Total Viewable Rate (Total Net Metrics)']]&lt;&gt;"NULL",
IF(DataPD[Partner Type]=#REF!,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IF(DataPD[Partner Type]=#REF!,
SUBTOTAL(9,OFFSET(DataPD[Total Impressions],ROW(DataPD[Total Impressions])-MIN(ROW(DataPD[Total Impressions])),0,1)))))</calculatedColumnFormula>
    </tableColumn>
    <tableColumn id="9" xr3:uid="{00000000-0010-0000-1600-000009000000}" name="GroupM Viewability _x000a_[% Display Ads Fully in View]" dataDxfId="135"/>
    <tableColumn id="24" xr3:uid="{00000000-0010-0000-1600-000018000000}" name="GroupM Viewability _x000a_[% Videos Fully in View]" dataDxfId="134"/>
    <tableColumn id="10" xr3:uid="{00000000-0010-0000-1600-00000A000000}" name="Publicis Viewability _x000a_[% Display Ads Fully in View]" dataDxfId="133"/>
    <tableColumn id="11" xr3:uid="{00000000-0010-0000-1600-00000B000000}" name="Publicis Viewability _x000a_[% Videos Fully in View]" dataDxfId="132"/>
  </tableColumns>
  <tableStyleInfo name="New IAS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7000000}" name="ColumnPD" displayName="ColumnPD" ref="J6:J13" totalsRowShown="0" headerRowDxfId="131" dataDxfId="129" headerRowBorderDxfId="130" tableBorderDxfId="128">
  <autoFilter ref="J6:J13" xr:uid="{00000000-0009-0000-0100-00002A000000}"/>
  <tableColumns count="1">
    <tableColumn id="1" xr3:uid="{00000000-0010-0000-1700-000001000000}" name="Metric" dataDxfId="127"/>
  </tableColumns>
  <tableStyleInfo name="New IAS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8000000}" name="DataCPD" displayName="DataCPD" ref="B15:AA16" totalsRowShown="0" headerRowDxfId="126" dataDxfId="124" headerRowBorderDxfId="125" dataCellStyle="Percent">
  <autoFilter ref="B15:AA16" xr:uid="{00000000-0009-0000-0100-00001E000000}"/>
  <tableColumns count="26">
    <tableColumn id="74" xr3:uid="{00000000-0010-0000-1800-00004A000000}" name="Brand" dataDxfId="123">
      <calculatedColumnFormula>IFERROR(
IF(DataCPD[[#Headers],[Brand]]="Brand",VLOOKUP(DataCPD[[#This Row],[Campaign]],Map_Campaign[],2,0),
IF(DataCPD[[#Headers],[Brand]]="Region (Team)",VLOOKUP(DataCPD[[#This Row],[Team]],Map_Team[],2,0),
IF(DataCPD[[#Headers],[Brand]]="Region (Campaign)",VLOOKUP(DataCPD[[#This Row],[Campaign]],Map_Campaign[],3,0),
IF(DataCPD[[#Headers],[Brand]]="Partner Type",VLOOKUP(DataCPD[[#This Row],[Partner]],Map_Partner[],2,0),
IF(DataCPD[[#Headers],[Brand]]="Device Type",VLOOKUP(DataCPD[[#This Row],[Placement]],Map_Placement[],3,0),
IF(DataCPD[[#Headers],[Brand]]="Creative Size",VLOOKUP(DataCPD[[#This Row],[Placement]],Map_Placement[],2,0),"Not a mapping option.")))))),
"[Unmapped]")</calculatedColumnFormula>
    </tableColumn>
    <tableColumn id="73" xr3:uid="{00000000-0010-0000-1800-000049000000}" name="Team" dataDxfId="122"/>
    <tableColumn id="71" xr3:uid="{00000000-0010-0000-1800-000047000000}" name="Campaign" dataDxfId="121"/>
    <tableColumn id="18" xr3:uid="{00000000-0010-0000-1800-000012000000}" name="Partner" dataDxfId="120"/>
    <tableColumn id="38" xr3:uid="{00000000-0010-0000-1800-000026000000}" name="Placement" dataDxfId="119"/>
    <tableColumn id="122" xr3:uid="{00000000-0010-0000-1800-00007A000000}" name="Device Type" dataDxfId="118"/>
    <tableColumn id="75" xr3:uid="{00000000-0010-0000-1800-00004B000000}" name="Blocking Status" dataDxfId="117"/>
    <tableColumn id="72" xr3:uid="{00000000-0010-0000-1800-000048000000}" name="Measured Impressions" dataDxfId="116" dataCellStyle="Comma"/>
    <tableColumn id="4" xr3:uid="{00000000-0010-0000-1800-000004000000}" name="Total Impressions" dataDxfId="115" dataCellStyle="Comma"/>
    <tableColumn id="5" xr3:uid="{00000000-0010-0000-1800-000005000000}" name="Measured Rate _x000a_[% Measured]" dataDxfId="114" dataCellStyle="Percent"/>
    <tableColumn id="6" xr3:uid="{00000000-0010-0000-1800-000006000000}" name="See-Through Rate _x000a_[% Visible]" dataDxfId="113" dataCellStyle="Percent"/>
    <tableColumn id="77" xr3:uid="{00000000-0010-0000-1800-00004D000000}" name="Brand Safety _x000a_[% Passed]" dataDxfId="112" dataCellStyle="Percent"/>
    <tableColumn id="41" xr3:uid="{00000000-0010-0000-1800-000029000000}" name="Brand Safety _x000a_[% Failed]" dataDxfId="111" dataCellStyle="Percent"/>
    <tableColumn id="60" xr3:uid="{00000000-0010-0000-1800-00003C000000}" name="Brand Safety _x000a_[% Failed by Content]" dataDxfId="110" dataCellStyle="Percent"/>
    <tableColumn id="63" xr3:uid="{00000000-0010-0000-1800-00003F000000}" name="Brand Safety _x000a_[% Failed by Geo]" dataDxfId="109" dataCellStyle="Percent"/>
    <tableColumn id="7" xr3:uid="{00000000-0010-0000-1800-000007000000}" name="Brand Safety _x000a_[% Failed by Keyword]" dataDxfId="108" dataCellStyle="Percent"/>
    <tableColumn id="8" xr3:uid="{00000000-0010-0000-1800-000008000000}" name="Brand Safety _x000a_[% Failed by Blacklist]" dataDxfId="107" dataCellStyle="Percent"/>
    <tableColumn id="9" xr3:uid="{00000000-0010-0000-1800-000009000000}" name="Brand Safety _x000a_[% Failed by Language]" dataDxfId="106" dataCellStyle="Percent"/>
    <tableColumn id="10" xr3:uid="{00000000-0010-0000-1800-00000A000000}" name="Fraud _x000a_[% Fraud]" dataDxfId="105" dataCellStyle="Percent"/>
    <tableColumn id="11" xr3:uid="{00000000-0010-0000-1800-00000B000000}" name="Viewability _x000a_[Total Viewable Rate (Total Net Metrics)]" dataDxfId="104" dataCellStyle="Percent"/>
    <tableColumn id="2" xr3:uid="{00000000-0010-0000-1800-000002000000}" name="Display Viewability _x000a_[Total Viewable Rate (Total Net Metrics)]" dataDxfId="103" dataCellStyle="Percent"/>
    <tableColumn id="78" xr3:uid="{00000000-0010-0000-1800-00004E000000}" name="Video Viewability _x000a_[Total Viewable Rate (Total Net Metrics)]" dataDxfId="102" dataCellStyle="Percent"/>
    <tableColumn id="12" xr3:uid="{00000000-0010-0000-1800-00000C000000}" name="GroupM Viewability _x000a_[% Display Ads Fully in View]" dataDxfId="101" dataCellStyle="Percent"/>
    <tableColumn id="76" xr3:uid="{00000000-0010-0000-1800-00004C000000}" name="GroupM Viewability _x000a_[% Videos Fully in View]" dataDxfId="100" dataCellStyle="Percent"/>
    <tableColumn id="3" xr3:uid="{00000000-0010-0000-1800-000003000000}" name="Publicis Viewability _x000a_[% Display Ads Fully in View]" dataDxfId="99" dataCellStyle="Percent"/>
    <tableColumn id="13" xr3:uid="{00000000-0010-0000-1800-00000D000000}" name="Publicis Viewability _x000a_[% Videos Fully in View]" dataDxfId="98" dataCellStyle="Percent"/>
  </tableColumns>
  <tableStyleInfo name="New IAS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9000000}" name="BenchmarksCPD" displayName="BenchmarksCPD" ref="K6:AA13" totalsRowShown="0" headerRowDxfId="97" dataDxfId="96">
  <autoFilter ref="K6:AA13" xr:uid="{00000000-0009-0000-0100-00001F000000}"/>
  <tableColumns count="17">
    <tableColumn id="1" xr3:uid="{00000000-0010-0000-1900-000001000000}" name="Measured Rate _x000a_[% Measured]" dataDxfId="95"/>
    <tableColumn id="2" xr3:uid="{00000000-0010-0000-1900-000002000000}" name="See-Through Rate _x000a_[% Visible]" dataDxfId="94"/>
    <tableColumn id="25" xr3:uid="{00000000-0010-0000-1900-000019000000}" name="Brand Safety _x000a_[% Passed]" dataDxfId="93">
      <calculatedColumnFormula array="1">SUM(
(DataCPD[Brand Safety 
'[% Passed']]&lt;&gt;"NULL")*
DataCPD[Brand Safety 
'[% Passed']]*SUBTOTAL(9,OFFSET(DataCPD[Total Impressions],ROW(DataCPD[Total Impressions])-MIN(ROW(DataCPD[Total Impressions])),0,1)))
/
SUM(
(DataCPD[Brand Safety 
'[% Passed']]&lt;&gt;"NULL")*
SUBTOTAL(9,OFFSET(DataCPD[Total Impressions],ROW(DataCPD[Total Impressions])-MIN(ROW(DataCPD[Total Impressions])),0,1)))</calculatedColumnFormula>
    </tableColumn>
    <tableColumn id="23" xr3:uid="{00000000-0010-0000-1900-000017000000}" name="Brand Safety _x000a_[% Failed]" dataDxfId="92"/>
    <tableColumn id="36" xr3:uid="{00000000-0010-0000-1900-000024000000}" name="Brand Safety _x000a_[% Failed by Content]" dataDxfId="91"/>
    <tableColumn id="16" xr3:uid="{00000000-0010-0000-1900-000010000000}" name="Brand Safety _x000a_[% Failed by Geo]" dataDxfId="90"/>
    <tableColumn id="3" xr3:uid="{00000000-0010-0000-1900-000003000000}" name="Brand Safety _x000a_[% Failed by Keyword]" dataDxfId="89"/>
    <tableColumn id="4" xr3:uid="{00000000-0010-0000-1900-000004000000}" name="Brand Safety _x000a_[% Failed by Blacklist]" dataDxfId="88"/>
    <tableColumn id="5" xr3:uid="{00000000-0010-0000-1900-000005000000}" name="Brand Safety _x000a_[% Failed by Language]" dataDxfId="87"/>
    <tableColumn id="6" xr3:uid="{00000000-0010-0000-1900-000006000000}" name="Fraud _x000a_[% Fraud]" dataDxfId="86"/>
    <tableColumn id="7" xr3:uid="{00000000-0010-0000-1900-000007000000}" name="Viewability _x000a_[Total Viewable Rate (Total Net Metrics)]" dataDxfId="85"/>
    <tableColumn id="8" xr3:uid="{00000000-0010-0000-1900-000008000000}" name="Display Viewability _x000a_[Total Viewable Rate (Total Net Metrics)]" dataDxfId="84"/>
    <tableColumn id="26" xr3:uid="{00000000-0010-0000-1900-00001A000000}" name="Video Viewability _x000a_[Total Viewable Rate (Total Net Metrics)]" dataDxfId="83">
      <calculatedColumnFormula array="1">SUM(
IF(DataCPD[Video Viewability 
'[Total Viewable Rate (Total Net Metrics)']]&lt;&gt;"NULL",
IF(DataCPD[Brand]=#REF!,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IF(DataCPD[Brand]=#REF!,
SUBTOTAL(9,OFFSET(DataCPD[Total Impressions],ROW(DataCPD[Total Impressions])-MIN(ROW(DataCPD[Total Impressions])),0,1)))))</calculatedColumnFormula>
    </tableColumn>
    <tableColumn id="9" xr3:uid="{00000000-0010-0000-1900-000009000000}" name="GroupM Viewability _x000a_[% Display Ads Fully in View]" dataDxfId="82"/>
    <tableColumn id="24" xr3:uid="{00000000-0010-0000-1900-000018000000}" name="GroupM Viewability _x000a_[% Videos Fully in View]" dataDxfId="81"/>
    <tableColumn id="10" xr3:uid="{00000000-0010-0000-1900-00000A000000}" name="Publicis Viewability _x000a_[% Display Ads Fully in View]" dataDxfId="80"/>
    <tableColumn id="11" xr3:uid="{00000000-0010-0000-1900-00000B000000}" name="Publicis Viewability _x000a_[% Videos Fully in View]" dataDxfId="79"/>
  </tableColumns>
  <tableStyleInfo name="New IAS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A000000}" name="ColumnCPD" displayName="ColumnCPD" ref="J6:J13" totalsRowShown="0" headerRowDxfId="78" dataDxfId="76" headerRowBorderDxfId="77" tableBorderDxfId="75">
  <autoFilter ref="J6:J13" xr:uid="{00000000-0009-0000-0100-00002B000000}"/>
  <tableColumns count="1">
    <tableColumn id="1" xr3:uid="{00000000-0010-0000-1A00-000001000000}" name="Metric" dataDxfId="74"/>
  </tableColumns>
  <tableStyleInfo name="New IAS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1B000000}" name="Benchmark_Legend" displayName="Benchmark_Legend" ref="B4:C21" totalsRowShown="0" headerRowDxfId="73" dataDxfId="72">
  <autoFilter ref="B4:C21" xr:uid="{00000000-0009-0000-0100-000004000000}"/>
  <tableColumns count="2">
    <tableColumn id="1" xr3:uid="{00000000-0010-0000-1B00-000001000000}" name="Metric" dataDxfId="71"/>
    <tableColumn id="6" xr3:uid="{00000000-0010-0000-1B00-000006000000}" name="Client Goals" dataDxfId="70"/>
  </tableColumns>
  <tableStyleInfo name="New IAS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C000000}" name="Map_Campaign" displayName="Map_Campaign" ref="E4:G7" totalsRowShown="0" headerRowDxfId="69" headerRowBorderDxfId="68" tableBorderDxfId="67" totalsRowBorderDxfId="66">
  <autoFilter ref="E4:G7" xr:uid="{00000000-0009-0000-0100-000012000000}"/>
  <tableColumns count="3">
    <tableColumn id="1" xr3:uid="{00000000-0010-0000-1C00-000001000000}" name="Campaign"/>
    <tableColumn id="2" xr3:uid="{00000000-0010-0000-1C00-000002000000}" name="Brand"/>
    <tableColumn id="3" xr3:uid="{00000000-0010-0000-1C00-000003000000}" name="Region"/>
  </tableColumns>
  <tableStyleInfo name="Table Style 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D000000}" name="Map_Team" displayName="Map_Team" ref="B4:C7" totalsRowShown="0" headerRowDxfId="65" tableBorderDxfId="64">
  <autoFilter ref="B4:C7" xr:uid="{00000000-0009-0000-0100-000013000000}"/>
  <tableColumns count="2">
    <tableColumn id="1" xr3:uid="{00000000-0010-0000-1D00-000001000000}" name="Team"/>
    <tableColumn id="2" xr3:uid="{00000000-0010-0000-1D00-000002000000}" name="Region"/>
  </tableColumns>
  <tableStyleInfo name="Table Style 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E000000}" name="Map_Partner" displayName="Map_Partner" ref="I4:J7" totalsRowShown="0" headerRowDxfId="63" tableBorderDxfId="62">
  <autoFilter ref="I4:J7" xr:uid="{00000000-0009-0000-0100-000014000000}"/>
  <tableColumns count="2">
    <tableColumn id="1" xr3:uid="{00000000-0010-0000-1E00-000001000000}" name="Partner"/>
    <tableColumn id="2" xr3:uid="{00000000-0010-0000-1E00-000002000000}" name="Partner Type"/>
  </tableColumns>
  <tableStyleInfo name="Table Style 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F000000}" name="Map_Placement" displayName="Map_Placement" ref="L4:N81" totalsRowShown="0" headerRowDxfId="61" tableBorderDxfId="60">
  <autoFilter ref="L4:N81" xr:uid="{00000000-0009-0000-0100-000015000000}"/>
  <tableColumns count="3">
    <tableColumn id="1" xr3:uid="{00000000-0010-0000-1F00-000001000000}" name="Placement"/>
    <tableColumn id="2" xr3:uid="{00000000-0010-0000-1F00-000002000000}" name="Creative Size"/>
    <tableColumn id="3" xr3:uid="{00000000-0010-0000-1F00-000003000000}" name="Device Type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AS">
      <a:dk1>
        <a:sysClr val="windowText" lastClr="000000"/>
      </a:dk1>
      <a:lt1>
        <a:srgbClr val="FFFFFF"/>
      </a:lt1>
      <a:dk2>
        <a:srgbClr val="00324A"/>
      </a:dk2>
      <a:lt2>
        <a:srgbClr val="E3F1F2"/>
      </a:lt2>
      <a:accent1>
        <a:srgbClr val="FF574A"/>
      </a:accent1>
      <a:accent2>
        <a:srgbClr val="00D1C0"/>
      </a:accent2>
      <a:accent3>
        <a:srgbClr val="596FFF"/>
      </a:accent3>
      <a:accent4>
        <a:srgbClr val="FFD12B"/>
      </a:accent4>
      <a:accent5>
        <a:srgbClr val="C3DCDE"/>
      </a:accent5>
      <a:accent6>
        <a:srgbClr val="2C9C89"/>
      </a:accent6>
      <a:hlink>
        <a:srgbClr val="0645AD"/>
      </a:hlink>
      <a:folHlink>
        <a:srgbClr val="A55858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4.xml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5.xml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drawing" Target="../drawings/drawing7.xml"/><Relationship Id="rId4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drawing" Target="../drawings/drawing8.xml"/><Relationship Id="rId4" Type="http://schemas.openxmlformats.org/officeDocument/2006/relationships/table" Target="../tables/table2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7.xml"/><Relationship Id="rId4" Type="http://schemas.openxmlformats.org/officeDocument/2006/relationships/table" Target="../tables/table2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Relationship Id="rId4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A1:DS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33" sqref="K33"/>
    </sheetView>
  </sheetViews>
  <sheetFormatPr defaultColWidth="0" defaultRowHeight="15" customHeight="1" x14ac:dyDescent="0.25"/>
  <cols>
    <col min="1" max="1" width="2.26953125" style="131" customWidth="1"/>
    <col min="2" max="2" width="22.1796875" style="203" hidden="1" customWidth="1"/>
    <col min="3" max="3" width="60.7265625" style="203" customWidth="1"/>
    <col min="4" max="4" width="60.7265625" style="203" hidden="1" customWidth="1"/>
    <col min="5" max="5" width="60.54296875" style="203" hidden="1" customWidth="1"/>
    <col min="6" max="6" width="60.7265625" style="203" hidden="1" customWidth="1"/>
    <col min="7" max="7" width="16.26953125" style="203" hidden="1" customWidth="1"/>
    <col min="8" max="8" width="21.81640625" style="203" customWidth="1"/>
    <col min="9" max="9" width="21.7265625" style="203" hidden="1" customWidth="1"/>
    <col min="10" max="10" width="24.453125" style="131" customWidth="1"/>
    <col min="11" max="11" width="24.453125" style="135" customWidth="1"/>
    <col min="12" max="47" width="23.453125" style="135" customWidth="1"/>
    <col min="48" max="79" width="17" style="135" customWidth="1"/>
    <col min="80" max="81" width="17.1796875" style="135" customWidth="1"/>
    <col min="82" max="102" width="17.1796875" style="131" customWidth="1"/>
    <col min="103" max="106" width="12.26953125" style="131" customWidth="1"/>
    <col min="107" max="114" width="12.453125" style="131" customWidth="1"/>
    <col min="115" max="121" width="8.81640625" style="131" customWidth="1"/>
    <col min="122" max="122" width="8.453125" style="136" customWidth="1"/>
    <col min="123" max="123" width="8.81640625" style="131" customWidth="1"/>
    <col min="124" max="16384" width="8.81640625" style="131" hidden="1"/>
  </cols>
  <sheetData>
    <row r="1" spans="1:122" ht="15.75" customHeight="1" thickBot="1" x14ac:dyDescent="0.3">
      <c r="B1" s="132"/>
      <c r="C1" s="132"/>
      <c r="D1" s="132"/>
      <c r="E1" s="133"/>
      <c r="F1" s="134" t="s">
        <v>21</v>
      </c>
      <c r="G1" s="134" t="s">
        <v>21</v>
      </c>
      <c r="H1" s="132"/>
      <c r="I1" s="134" t="s">
        <v>21</v>
      </c>
      <c r="J1" s="135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  <c r="BE1" s="131"/>
      <c r="BF1" s="131"/>
      <c r="BG1" s="131"/>
      <c r="BH1" s="131"/>
      <c r="BI1" s="131"/>
      <c r="BJ1" s="131"/>
      <c r="BK1" s="131"/>
      <c r="BL1" s="131"/>
      <c r="BM1" s="131"/>
      <c r="BN1" s="131"/>
      <c r="BO1" s="131"/>
      <c r="BP1" s="131"/>
      <c r="BQ1" s="131"/>
      <c r="BR1" s="131"/>
      <c r="BS1" s="131"/>
      <c r="BT1" s="131"/>
      <c r="BU1" s="131"/>
      <c r="BV1" s="131"/>
      <c r="BW1" s="131"/>
      <c r="BX1" s="131"/>
      <c r="BY1" s="131"/>
      <c r="BZ1" s="131"/>
      <c r="CA1" s="131"/>
      <c r="CB1" s="131"/>
      <c r="CC1" s="131"/>
      <c r="DQ1" s="136"/>
      <c r="DR1" s="131"/>
    </row>
    <row r="2" spans="1:122" ht="15.75" customHeight="1" thickBot="1" x14ac:dyDescent="0.3">
      <c r="B2" s="132"/>
      <c r="C2" s="132"/>
      <c r="D2" s="132"/>
      <c r="E2" s="133"/>
      <c r="F2" s="137"/>
      <c r="G2" s="137"/>
      <c r="H2" s="132"/>
      <c r="I2" s="137"/>
      <c r="J2" s="138" t="s">
        <v>12</v>
      </c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9"/>
      <c r="Y2" s="139"/>
      <c r="Z2" s="131"/>
      <c r="AA2" s="131"/>
      <c r="AB2" s="131"/>
      <c r="AC2" s="132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  <c r="BL2" s="131"/>
      <c r="BM2" s="131"/>
      <c r="BN2" s="131"/>
      <c r="BO2" s="131"/>
      <c r="BP2" s="131"/>
      <c r="BQ2" s="131"/>
      <c r="BR2" s="131"/>
      <c r="BS2" s="131"/>
      <c r="BT2" s="131"/>
      <c r="BU2" s="131"/>
      <c r="BV2" s="131"/>
      <c r="BW2" s="131"/>
      <c r="BX2" s="131"/>
      <c r="BY2" s="131"/>
      <c r="BZ2" s="131"/>
      <c r="CA2" s="131"/>
      <c r="CB2" s="131"/>
      <c r="CC2" s="131"/>
      <c r="DQ2" s="136"/>
      <c r="DR2" s="131"/>
    </row>
    <row r="3" spans="1:122" ht="15" customHeight="1" x14ac:dyDescent="0.25">
      <c r="B3" s="132"/>
      <c r="C3" s="132"/>
      <c r="D3" s="132"/>
      <c r="E3" s="133"/>
      <c r="F3" s="137"/>
      <c r="G3" s="137"/>
      <c r="H3" s="132"/>
      <c r="I3" s="137"/>
      <c r="J3" s="140">
        <v>0.3</v>
      </c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9"/>
      <c r="Y3" s="139"/>
      <c r="Z3" s="131"/>
      <c r="AA3" s="131"/>
      <c r="AB3" s="131"/>
      <c r="AC3" s="132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DQ3" s="136"/>
      <c r="DR3" s="131"/>
    </row>
    <row r="4" spans="1:122" ht="15" customHeight="1" thickBot="1" x14ac:dyDescent="0.3">
      <c r="B4" s="132"/>
      <c r="C4" s="132"/>
      <c r="D4" s="132"/>
      <c r="E4" s="133"/>
      <c r="F4" s="137"/>
      <c r="G4" s="137"/>
      <c r="H4" s="132"/>
      <c r="I4" s="137"/>
      <c r="J4" s="141">
        <v>0.3</v>
      </c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1"/>
      <c r="CC4" s="131"/>
      <c r="DQ4" s="136"/>
      <c r="DR4" s="131"/>
    </row>
    <row r="5" spans="1:122" ht="15.75" customHeight="1" thickBot="1" x14ac:dyDescent="0.3">
      <c r="B5" s="132"/>
      <c r="C5" s="132"/>
      <c r="D5" s="132"/>
      <c r="E5" s="133"/>
      <c r="F5" s="137"/>
      <c r="G5" s="137"/>
      <c r="H5" s="132"/>
      <c r="I5" s="137"/>
      <c r="J5" s="142"/>
      <c r="K5" s="131"/>
      <c r="L5" s="131"/>
      <c r="M5" s="131"/>
      <c r="N5" s="131"/>
      <c r="O5" s="143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9"/>
      <c r="AH5" s="139"/>
      <c r="AI5" s="139"/>
      <c r="AJ5" s="139"/>
      <c r="AK5" s="139"/>
      <c r="AL5" s="139"/>
      <c r="AM5" s="139"/>
      <c r="AN5" s="139"/>
      <c r="AO5" s="131"/>
      <c r="AP5" s="131"/>
      <c r="AQ5" s="131"/>
      <c r="AR5" s="131"/>
      <c r="AS5" s="131"/>
      <c r="AT5" s="131"/>
      <c r="AU5" s="131"/>
      <c r="AV5" s="131"/>
      <c r="AW5" s="131"/>
      <c r="AX5" s="131"/>
      <c r="AY5" s="131"/>
      <c r="AZ5" s="131"/>
      <c r="BA5" s="131"/>
      <c r="BB5" s="131"/>
      <c r="BC5" s="131"/>
      <c r="BD5" s="131"/>
      <c r="BE5" s="131"/>
      <c r="BF5" s="131"/>
      <c r="BG5" s="131"/>
      <c r="BH5" s="131"/>
      <c r="BI5" s="131"/>
      <c r="BJ5" s="131"/>
      <c r="BK5" s="131"/>
      <c r="BL5" s="131"/>
      <c r="BM5" s="131"/>
      <c r="BN5" s="131"/>
      <c r="BO5" s="131"/>
      <c r="BP5" s="131"/>
      <c r="BQ5" s="131"/>
      <c r="BR5" s="131"/>
      <c r="BS5" s="131"/>
      <c r="BT5" s="131"/>
      <c r="BU5" s="131"/>
      <c r="BV5" s="131"/>
      <c r="BW5" s="131"/>
      <c r="BX5" s="131"/>
      <c r="BY5" s="131"/>
      <c r="BZ5" s="131"/>
      <c r="CA5" s="131"/>
      <c r="CB5" s="131"/>
      <c r="CC5" s="131"/>
      <c r="DQ5" s="136"/>
      <c r="DR5" s="131"/>
    </row>
    <row r="6" spans="1:122" s="139" customFormat="1" ht="42.65" customHeight="1" thickBot="1" x14ac:dyDescent="0.4">
      <c r="A6" s="144"/>
      <c r="B6" s="216" t="s">
        <v>155</v>
      </c>
      <c r="C6" s="216"/>
      <c r="D6" s="217"/>
      <c r="E6" s="145"/>
      <c r="F6" s="146"/>
      <c r="G6" s="210" t="s">
        <v>133</v>
      </c>
      <c r="H6" s="211"/>
      <c r="I6" s="147"/>
      <c r="J6" s="148" t="s">
        <v>1</v>
      </c>
      <c r="K6" s="149" t="s">
        <v>4</v>
      </c>
      <c r="L6" s="149" t="s">
        <v>162</v>
      </c>
      <c r="M6" s="149" t="s">
        <v>23</v>
      </c>
      <c r="N6" s="149" t="s">
        <v>5</v>
      </c>
      <c r="O6" s="149" t="s">
        <v>24</v>
      </c>
      <c r="P6" s="149" t="s">
        <v>25</v>
      </c>
      <c r="Q6" s="149" t="s">
        <v>26</v>
      </c>
      <c r="R6" s="149" t="s">
        <v>27</v>
      </c>
      <c r="S6" s="149" t="s">
        <v>156</v>
      </c>
      <c r="T6" s="149" t="s">
        <v>28</v>
      </c>
      <c r="U6" s="149" t="s">
        <v>157</v>
      </c>
      <c r="V6" s="149" t="s">
        <v>158</v>
      </c>
      <c r="W6" s="149" t="s">
        <v>159</v>
      </c>
      <c r="X6" s="149" t="s">
        <v>160</v>
      </c>
      <c r="Y6" s="149" t="s">
        <v>161</v>
      </c>
      <c r="Z6" s="149" t="s">
        <v>163</v>
      </c>
      <c r="AA6" s="149" t="s">
        <v>164</v>
      </c>
      <c r="AB6" s="150"/>
    </row>
    <row r="7" spans="1:122" s="139" customFormat="1" ht="15" hidden="1" customHeight="1" thickBot="1" x14ac:dyDescent="0.4">
      <c r="A7" s="151"/>
      <c r="B7" s="152"/>
      <c r="C7" s="152"/>
      <c r="D7" s="153"/>
      <c r="E7" s="145"/>
      <c r="F7" s="146"/>
      <c r="G7" s="212" t="s">
        <v>132</v>
      </c>
      <c r="H7" s="213"/>
      <c r="I7" s="154"/>
      <c r="J7" s="155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150"/>
    </row>
    <row r="8" spans="1:122" s="139" customFormat="1" ht="15.75" customHeight="1" x14ac:dyDescent="0.35">
      <c r="A8" s="144"/>
      <c r="B8" s="218" t="str">
        <f ca="1">MID(CELL("filename",A1),FIND("]",CELL("filename",A1))+1,255)&amp;" Level Scorecard"</f>
        <v>Team Level Scorecard</v>
      </c>
      <c r="C8" s="218"/>
      <c r="D8" s="219"/>
      <c r="E8" s="145"/>
      <c r="F8" s="146"/>
      <c r="G8" s="214" t="s">
        <v>132</v>
      </c>
      <c r="H8" s="215"/>
      <c r="I8" s="158"/>
      <c r="J8" s="159" t="s">
        <v>16</v>
      </c>
      <c r="K8" s="204">
        <f>VLOOKUP(K6,Benchmark_Legend[],MATCH(ColumnT[[#This Row],[Metric]],Benchmark_Legend[#Headers],0),0)</f>
        <v>0.7</v>
      </c>
      <c r="L8" s="160">
        <f>VLOOKUP(L6,Benchmark_Legend[],MATCH(ColumnT[[#This Row],[Metric]],Benchmark_Legend[#Headers],0),0)</f>
        <v>0.98</v>
      </c>
      <c r="M8" s="161">
        <f>VLOOKUP(M6,Benchmark_Legend[],MATCH(ColumnT[[#This Row],[Metric]],Benchmark_Legend[#Headers],0),0)</f>
        <v>0.95</v>
      </c>
      <c r="N8" s="162">
        <f>VLOOKUP(N6,Benchmark_Legend[],MATCH(ColumnT[[#This Row],[Metric]],Benchmark_Legend[#Headers],0),0)</f>
        <v>0.05</v>
      </c>
      <c r="O8" s="162">
        <f>VLOOKUP(O6,Benchmark_Legend[],MATCH(ColumnT[[#This Row],[Metric]],Benchmark_Legend[#Headers],0),0)</f>
        <v>0.02</v>
      </c>
      <c r="P8" s="162">
        <f>VLOOKUP(P6,Benchmark_Legend[],MATCH(ColumnT[[#This Row],[Metric]],Benchmark_Legend[#Headers],0),0)</f>
        <v>0.02</v>
      </c>
      <c r="Q8" s="160">
        <f>VLOOKUP(Q6,Benchmark_Legend[],MATCH(ColumnT[[#This Row],[Metric]],Benchmark_Legend[#Headers],0),0)</f>
        <v>0.01</v>
      </c>
      <c r="R8" s="160">
        <f>VLOOKUP(R6,Benchmark_Legend[],MATCH(ColumnT[[#This Row],[Metric]],Benchmark_Legend[#Headers],0),0)</f>
        <v>0.01</v>
      </c>
      <c r="S8" s="160">
        <f>VLOOKUP(S6,Benchmark_Legend[],MATCH(ColumnT[[#This Row],[Metric]],Benchmark_Legend[#Headers],0),0)</f>
        <v>0.01</v>
      </c>
      <c r="T8" s="163">
        <f>VLOOKUP(T6,Benchmark_Legend[],MATCH(ColumnT[[#This Row],[Metric]],Benchmark_Legend[#Headers],0),0)</f>
        <v>0.03</v>
      </c>
      <c r="U8" s="163">
        <f>VLOOKUP(U6,Benchmark_Legend[],MATCH(ColumnT[[#This Row],[Metric]],Benchmark_Legend[#Headers],0),0)</f>
        <v>0.55000000000000004</v>
      </c>
      <c r="V8" s="163">
        <f>VLOOKUP(V6,Benchmark_Legend[],MATCH(ColumnT[[#This Row],[Metric]],Benchmark_Legend[#Headers],0),0)</f>
        <v>0.6</v>
      </c>
      <c r="W8" s="164">
        <f>VLOOKUP(W6,Benchmark_Legend[],MATCH(ColumnT[[#This Row],[Metric]],Benchmark_Legend[#Headers],0),0)</f>
        <v>0.5</v>
      </c>
      <c r="X8" s="160">
        <f>VLOOKUP(X6,Benchmark_Legend[],MATCH(ColumnT[[#This Row],[Metric]],Benchmark_Legend[#Headers],0),0)</f>
        <v>0.35</v>
      </c>
      <c r="Y8" s="162">
        <f>VLOOKUP(Y6,Benchmark_Legend[],MATCH(ColumnT[[#This Row],[Metric]],Benchmark_Legend[#Headers],0),0)</f>
        <v>0.25</v>
      </c>
      <c r="Z8" s="160">
        <f>VLOOKUP(Z6,Benchmark_Legend[],MATCH(ColumnT[[#This Row],[Metric]],Benchmark_Legend[#Headers],0),0)</f>
        <v>0.35</v>
      </c>
      <c r="AA8" s="160">
        <f>VLOOKUP(AA6,Benchmark_Legend[],MATCH(ColumnT[[#This Row],[Metric]],Benchmark_Legend[#Headers],0),0)</f>
        <v>0.25</v>
      </c>
      <c r="AB8" s="150"/>
    </row>
    <row r="9" spans="1:122" s="139" customFormat="1" ht="15.75" customHeight="1" thickBot="1" x14ac:dyDescent="0.4">
      <c r="A9" s="144"/>
      <c r="B9" s="207" t="s">
        <v>154</v>
      </c>
      <c r="C9" s="207"/>
      <c r="D9" s="208"/>
      <c r="E9" s="165"/>
      <c r="F9" s="146"/>
      <c r="G9" s="166" t="s">
        <v>14</v>
      </c>
      <c r="H9" s="167" t="s">
        <v>14</v>
      </c>
      <c r="I9" s="168"/>
      <c r="J9" s="169" t="s">
        <v>130</v>
      </c>
      <c r="K9" s="170">
        <f t="array" aca="1" ref="K9" ca="1">SUM(
IF((DataT[Measured Rate 
'[% Measured']]&lt;&gt;"NULL"),
DataT[Measured Rate 
'[% Measured']]*
SUBTOTAL(9,OFFSET(DataT[Total Impressions],ROW(DataT[Total Impressions])-MIN(ROW(DataT[Total Impressions])),0,1))))
/
SUM(
IF((DataT[Measured Rate 
'[% Measured']]&lt;&gt;"NULL"),
SUBTOTAL(9,OFFSET(DataT[Total Impressions],ROW(DataT[Total Impressions])-MIN(ROW(DataT[Total Impressions])),0,1))))</f>
        <v>0.7</v>
      </c>
      <c r="L9" s="170">
        <f t="array" aca="1" ref="L9" ca="1">SUM(
IF((DataT[See-Through Rate 
'[% Visible']]&lt;&gt;"NULL"),
DataT[See-Through Rate 
'[% Visible']]*
SUBTOTAL(9,OFFSET(DataT[Total Impressions],ROW(DataT[Total Impressions])-MIN(ROW(DataT[Total Impressions])),0,1))))
/
SUM(
IF((DataT[See-Through Rate 
'[% Visible']]&lt;&gt;"NULL"),
SUBTOTAL(9,OFFSET(DataT[Total Impressions],ROW(DataT[Total Impressions])-MIN(ROW(DataT[Total Impressions])),0,1))))</f>
        <v>0.98</v>
      </c>
      <c r="M9" s="171">
        <f t="array" aca="1" ref="M9" ca="1">SUM(
IF((DataT[Brand Safety 
'[% Passed']]&lt;&gt;"NULL"),
DataT[Brand Safety 
'[% Passed']]*
SUBTOTAL(9,OFFSET(DataT[Total Impressions],ROW(DataT[Total Impressions])-MIN(ROW(DataT[Total Impressions])),0,1))))
/
SUM(
IF((DataT[Brand Safety 
'[% Passed']]&lt;&gt;"NULL"),
SUBTOTAL(9,OFFSET(DataT[Total Impressions],ROW(DataT[Total Impressions])-MIN(ROW(DataT[Total Impressions])),0,1))))</f>
        <v>0.95</v>
      </c>
      <c r="N9" s="171">
        <f t="array" aca="1" ref="N9" ca="1">SUM(
IF((DataT[Brand Safety 
'[% Failed']]&lt;&gt;"NULL"),
DataT[Brand Safety 
'[% Failed']]*
SUBTOTAL(9,OFFSET(DataT[Total Impressions],ROW(DataT[Total Impressions])-MIN(ROW(DataT[Total Impressions])),0,1))))
/
SUM(
IF((DataT[Brand Safety 
'[% Failed']]&lt;&gt;"NULL"),
SUBTOTAL(9,OFFSET(DataT[Total Impressions],ROW(DataT[Total Impressions])-MIN(ROW(DataT[Total Impressions])),0,1))))</f>
        <v>0.05</v>
      </c>
      <c r="O9" s="171">
        <f t="array" aca="1" ref="O9" ca="1">SUM(
IF((DataT[Brand Safety 
'[% Failed by Content']]&lt;&gt;"NULL"),
DataT[Brand Safety 
'[% Failed by Content']]*
SUBTOTAL(9,OFFSET(DataT[Total Impressions],ROW(DataT[Total Impressions])-MIN(ROW(DataT[Total Impressions])),0,1))))
/
SUM(
IF((DataT[Brand Safety 
'[% Failed by Content']]&lt;&gt;"NULL"),
SUBTOTAL(9,OFFSET(DataT[Total Impressions],ROW(DataT[Total Impressions])-MIN(ROW(DataT[Total Impressions])),0,1))))</f>
        <v>0.02</v>
      </c>
      <c r="P9" s="171">
        <f t="array" aca="1" ref="P9" ca="1">SUM(
IF((DataT[Brand Safety 
'[% Failed by Geo']]&lt;&gt;"NULL"),
DataT[Brand Safety 
'[% Failed by Geo']]*
SUBTOTAL(9,OFFSET(DataT[Total Impressions],ROW(DataT[Total Impressions])-MIN(ROW(DataT[Total Impressions])),0,1))))
/
SUM(
IF((DataT[Brand Safety 
'[% Failed by Geo']]&lt;&gt;"NULL"),
SUBTOTAL(9,OFFSET(DataT[Total Impressions],ROW(DataT[Total Impressions])-MIN(ROW(DataT[Total Impressions])),0,1))))</f>
        <v>0.02</v>
      </c>
      <c r="Q9" s="170">
        <f t="array" aca="1" ref="Q9" ca="1">SUM(
IF((DataT[Brand Safety 
'[% Failed by Keyword']]&lt;&gt;"NULL"),
DataT[Brand Safety 
'[% Failed by Keyword']]*
SUBTOTAL(9,OFFSET(DataT[Total Impressions],ROW(DataT[Total Impressions])-MIN(ROW(DataT[Total Impressions])),0,1))))
/
SUM(
IF((DataT[Brand Safety 
'[% Failed by Keyword']]&lt;&gt;"NULL"),
SUBTOTAL(9,OFFSET(DataT[Total Impressions],ROW(DataT[Total Impressions])-MIN(ROW(DataT[Total Impressions])),0,1))))</f>
        <v>0.01</v>
      </c>
      <c r="R9" s="170">
        <f t="array" aca="1" ref="R9" ca="1">SUM(
IF((DataT[Brand Safety 
'[% Failed by Blacklist']]&lt;&gt;"NULL"),
DataT[Brand Safety 
'[% Failed by Blacklist']]*
SUBTOTAL(9,OFFSET(DataT[Total Impressions],ROW(DataT[Total Impressions])-MIN(ROW(DataT[Total Impressions])),0,1))))
/
SUM(
IF((DataT[Brand Safety 
'[% Failed by Blacklist']]&lt;&gt;"NULL"),
SUBTOTAL(9,OFFSET(DataT[Total Impressions],ROW(DataT[Total Impressions])-MIN(ROW(DataT[Total Impressions])),0,1))))</f>
        <v>0.01</v>
      </c>
      <c r="S9" s="170">
        <f t="array" aca="1" ref="S9" ca="1">SUM(
IF((DataT[Brand Safety 
'[% Failed by Language']]&lt;&gt;"NULL"),
DataT[Brand Safety 
'[% Failed by Language']]*
SUBTOTAL(9,OFFSET(DataT[Total Impressions],ROW(DataT[Total Impressions])-MIN(ROW(DataT[Total Impressions])),0,1))))
/
SUM(
IF((DataT[Brand Safety 
'[% Failed by Language']]&lt;&gt;"NULL"),
SUBTOTAL(9,OFFSET(DataT[Total Impressions],ROW(DataT[Total Impressions])-MIN(ROW(DataT[Total Impressions])),0,1))))</f>
        <v>0.01</v>
      </c>
      <c r="T9" s="170">
        <f t="array" aca="1" ref="T9" ca="1">SUM(
IF((DataT[Fraud 
'[% Fraud']]&lt;&gt;"NULL"),
DataT[Fraud 
'[% Fraud']]*
SUBTOTAL(9,OFFSET(DataT[Total Impressions],ROW(DataT[Total Impressions])-MIN(ROW(DataT[Total Impressions])),0,1))))
/
SUM(
IF((DataT[Fraud 
'[% Fraud']]&lt;&gt;"NULL"),
SUBTOTAL(9,OFFSET(DataT[Total Impressions],ROW(DataT[Total Impressions])-MIN(ROW(DataT[Total Impressions])),0,1))))</f>
        <v>0.03</v>
      </c>
      <c r="U9" s="170">
        <f t="array" aca="1" ref="U9" ca="1">SUM(
IF((DataT[Viewability 
'[Total Viewable Rate (Total Net Metrics)']]&lt;&gt;"NULL"),
DataT[Viewability 
'[Total Viewable Rate (Total Net Metrics)']]*SUBTOTAL(9,OFFSET(DataT[Measured Impressions],ROW(DataT[Measured Impressions])-MIN(ROW(DataT[Measured Impressions])),0,1))))
/
SUM(
IF((DataT[Viewability 
'[Total Viewable Rate (Total Net Metrics)']]&lt;&gt;"NULL"),
SUBTOTAL(9,OFFSET(DataT[Measured Impressions],ROW(DataT[Measured Impressions])-MIN(ROW(DataT[Measured Impressions])),0,1))))</f>
        <v>0.55000000000000004</v>
      </c>
      <c r="V9" s="170">
        <f t="array" aca="1" ref="V9" ca="1">SUM(
IF((DataT[Display Viewability 
'[Total Viewable Rate (Total Net Metrics)']]&lt;&gt;"NULL"),
DataT[Display Viewability 
'[Total Viewable Rate (Total Net Metrics)']]*SUBTOTAL(9,OFFSET(DataT[Measured Impressions],ROW(DataT[Measured Impressions])-MIN(ROW(DataT[Measured Impressions])),0,1))))
/
SUM(
IF((DataT[Display Viewability 
'[Total Viewable Rate (Total Net Metrics)']]&lt;&gt;"NULL"),
SUBTOTAL(9,OFFSET(DataT[Measured Impressions],ROW(DataT[Measured Impressions])-MIN(ROW(DataT[Measured Impressions])),0,1))))</f>
        <v>0.6</v>
      </c>
      <c r="W9" s="171">
        <f t="array" aca="1" ref="W9" ca="1">SUM(
IF((DataT[Video Viewability 
'[Total Viewable Rate (Total Net Metrics)']]&lt;&gt;"NULL"),
DataT[Video Viewability 
'[Total Viewable Rate (Total Net Metrics)']]*SUBTOTAL(9,OFFSET(DataT[Measured Impressions],ROW(DataT[Measured Impressions])-MIN(ROW(DataT[Measured Impressions])),0,1))))
/
SUM(
IF((DataT[Video Viewability 
'[Total Viewable Rate (Total Net Metrics)']]&lt;&gt;"NULL"),
SUBTOTAL(9,OFFSET(DataT[Measured Impressions],ROW(DataT[Measured Impressions])-MIN(ROW(DataT[Measured Impressions])),0,1))))</f>
        <v>0.5</v>
      </c>
      <c r="X9" s="170">
        <f t="array" aca="1" ref="X9" ca="1">SUM(
IF((DataT[GroupM Viewability 
'[% Display Ads Fully in View']]&lt;&gt;"NULL"),
DataT[GroupM Viewability 
'[% Display Ads Fully in View']]*SUBTOTAL(9,OFFSET(DataT[Measured Impressions],ROW(DataT[Measured Impressions])-MIN(ROW(DataT[Measured Impressions])),0,1))))
/
SUM(
IF((DataT[GroupM Viewability 
'[% Display Ads Fully in View']]&lt;&gt;"NULL"),
SUBTOTAL(9,OFFSET(DataT[Measured Impressions],ROW(DataT[Measured Impressions])-MIN(ROW(DataT[Measured Impressions])),0,1))))</f>
        <v>0.35</v>
      </c>
      <c r="Y9" s="171">
        <f t="array" aca="1" ref="Y9" ca="1">SUM(
IF((DataT[GroupM Viewability 
'[% Videos Fully in View']]&lt;&gt;"NULL"),
DataT[GroupM Viewability 
'[% Videos Fully in View']]*SUBTOTAL(9,OFFSET(DataT[Measured Impressions],ROW(DataT[Measured Impressions])-MIN(ROW(DataT[Measured Impressions])),0,1))))
/
SUM(
IF((DataT[GroupM Viewability 
'[% Videos Fully in View']]&lt;&gt;"NULL"),
SUBTOTAL(9,OFFSET(DataT[Measured Impressions],ROW(DataT[Measured Impressions])-MIN(ROW(DataT[Measured Impressions])),0,1))))</f>
        <v>0.25</v>
      </c>
      <c r="Z9" s="170">
        <f t="array" aca="1" ref="Z9" ca="1">SUM(
IF((DataT[Publicis Viewability 
'[% Display Ads Fully in View']]&lt;&gt;"NULL"),
DataT[Publicis Viewability 
'[% Display Ads Fully in View']]*SUBTOTAL(9,OFFSET(DataT[Measured Impressions],ROW(DataT[Measured Impressions])-MIN(ROW(DataT[Measured Impressions])),0,1))))
/
SUM(
IF((DataT[Publicis Viewability 
'[% Display Ads Fully in View']]&lt;&gt;"NULL"),
SUBTOTAL(9,OFFSET(DataT[Measured Impressions],ROW(DataT[Measured Impressions])-MIN(ROW(DataT[Measured Impressions])),0,1))))</f>
        <v>0.35</v>
      </c>
      <c r="AA9" s="170">
        <f t="array" aca="1" ref="AA9" ca="1">SUM(
IF((DataT[Publicis Viewability 
'[% Videos Fully in View']]&lt;&gt;"NULL"),
DataT[Publicis Viewability 
'[% Videos Fully in View']]*SUBTOTAL(9,OFFSET(DataT[Measured Impressions],ROW(DataT[Measured Impressions])-MIN(ROW(DataT[Measured Impressions])),0,1))))
/
SUM(
IF((DataT[Publicis Viewability 
'[% Videos Fully in View']]&lt;&gt;"NULL"),
SUBTOTAL(9,OFFSET(DataT[Measured Impressions],ROW(DataT[Measured Impressions])-MIN(ROW(DataT[Measured Impressions])),0,1))))</f>
        <v>0.25</v>
      </c>
      <c r="AB9" s="150"/>
    </row>
    <row r="10" spans="1:122" s="139" customFormat="1" ht="15.75" hidden="1" customHeight="1" x14ac:dyDescent="0.35">
      <c r="A10" s="151"/>
      <c r="B10" s="152"/>
      <c r="C10" s="152"/>
      <c r="D10" s="153"/>
      <c r="E10" s="145"/>
      <c r="F10" s="146"/>
      <c r="G10" s="172" t="s">
        <v>14</v>
      </c>
      <c r="H10" s="172"/>
      <c r="I10" s="151"/>
      <c r="J10" s="173" t="s">
        <v>126</v>
      </c>
      <c r="K10" s="174" t="e">
        <f t="array" aca="1" ref="K10" ca="1">SUM(
IF(DataT[Measured Rate 
'[% Measured']]&lt;&gt;"NULL",
IF(DataT[Device Type]=ColumnT[[#This Row],[Metric]],
DataT[Measured Rate 
'[% Measured']]*
SUBTOTAL(9,OFFSET(DataT[Total Impressions],ROW(DataT[Total Impressions])-MIN(ROW(DataT[Total Impressions])),0,1)))))
/
SUM(
IF(DataT[Measured Rate 
'[% Measured']]&lt;&gt;"NULL",
IF(DataT[Device Type]=ColumnT[[#This Row],[Metric]],
SUBTOTAL(9,OFFSET(DataT[Total Impressions],ROW(DataT[Total Impressions])-MIN(ROW(DataT[Total Impressions])),0,1)))))</f>
        <v>#DIV/0!</v>
      </c>
      <c r="L10" s="175" t="e">
        <f t="array" aca="1" ref="L10" ca="1">SUM(
IF(DataT[See-Through Rate 
'[% Visible']]&lt;&gt;"NULL",
IF(DataT[Device Type]=ColumnT[[#This Row],[Metric]],
DataT[See-Through Rate 
'[% Visible']]*
SUBTOTAL(9,OFFSET(DataT[Total Impressions],ROW(DataT[Total Impressions])-MIN(ROW(DataT[Total Impressions])),0,1)))))
/
SUM(
IF(DataT[See-Through Rate 
'[% Visible']]&lt;&gt;"NULL",
IF(DataT[Device Type]=ColumnT[[#This Row],[Metric]],
SUBTOTAL(9,OFFSET(DataT[Total Impressions],ROW(DataT[Total Impressions])-MIN(ROW(DataT[Total Impressions])),0,1)))))</f>
        <v>#DIV/0!</v>
      </c>
      <c r="M10" s="175" t="e">
        <f t="array" aca="1" ref="M10" ca="1">SUM(
IF(DataT[Brand Safety 
'[% Passed']]&lt;&gt;"NULL",
IF(DataT[Device Type]=ColumnT[[#This Row],[Metric]],
DataT[Brand Safety 
'[% Passed']]*
SUBTOTAL(9,OFFSET(DataT[Total Impressions],ROW(DataT[Total Impressions])-MIN(ROW(DataT[Total Impressions])),0,1)))))
/
SUM(
IF(DataT[Brand Safety 
'[% Passed']]&lt;&gt;"NULL",
IF(DataT[Device Type]=ColumnT[[#This Row],[Metric]],
SUBTOTAL(9,OFFSET(DataT[Total Impressions],ROW(DataT[Total Impressions])-MIN(ROW(DataT[Total Impressions])),0,1)))))</f>
        <v>#DIV/0!</v>
      </c>
      <c r="N10" s="175" t="e">
        <f t="array" aca="1" ref="N10" ca="1">SUM(
IF(DataT[Brand Safety 
'[% Failed']]&lt;&gt;"NULL",
IF(DataT[Device Type]=ColumnT[[#This Row],[Metric]],
DataT[Brand Safety 
'[% Failed']]*
SUBTOTAL(9,OFFSET(DataT[Total Impressions],ROW(DataT[Total Impressions])-MIN(ROW(DataT[Total Impressions])),0,1)))))
/
SUM(
IF(DataT[Brand Safety 
'[% Failed']]&lt;&gt;"NULL",
IF(DataT[Device Type]=ColumnT[[#This Row],[Metric]],
SUBTOTAL(9,OFFSET(DataT[Total Impressions],ROW(DataT[Total Impressions])-MIN(ROW(DataT[Total Impressions])),0,1)))))</f>
        <v>#DIV/0!</v>
      </c>
      <c r="O10" s="175" t="e">
        <f t="array" aca="1" ref="O10" ca="1">SUM(
IF(DataT[Brand Safety 
'[% Failed by Content']]&lt;&gt;"NULL",
IF(DataT[Device Type]=ColumnT[[#This Row],[Metric]],
DataT[Brand Safety 
'[% Failed by Content']]*
SUBTOTAL(9,OFFSET(DataT[Total Impressions],ROW(DataT[Total Impressions])-MIN(ROW(DataT[Total Impressions])),0,1)))))
/
SUM(
IF(DataT[Brand Safety 
'[% Failed by Content']]&lt;&gt;"NULL",
IF(DataT[Device Type]=ColumnT[[#This Row],[Metric]],
SUBTOTAL(9,OFFSET(DataT[Total Impressions],ROW(DataT[Total Impressions])-MIN(ROW(DataT[Total Impressions])),0,1)))))</f>
        <v>#DIV/0!</v>
      </c>
      <c r="P10" s="175" t="e">
        <f t="array" aca="1" ref="P10" ca="1">SUM(
IF(DataT[Brand Safety 
'[% Failed by Geo']]&lt;&gt;"NULL",
IF(DataT[Device Type]=ColumnT[[#This Row],[Metric]],
DataT[Brand Safety 
'[% Failed by Geo']]*
SUBTOTAL(9,OFFSET(DataT[Total Impressions],ROW(DataT[Total Impressions])-MIN(ROW(DataT[Total Impressions])),0,1)))))
/
SUM(
IF(DataT[Brand Safety 
'[% Failed by Geo']]&lt;&gt;"NULL",
IF(DataT[Device Type]=ColumnT[[#This Row],[Metric]],
SUBTOTAL(9,OFFSET(DataT[Total Impressions],ROW(DataT[Total Impressions])-MIN(ROW(DataT[Total Impressions])),0,1)))))</f>
        <v>#DIV/0!</v>
      </c>
      <c r="Q10" s="175" t="e">
        <f t="array" aca="1" ref="Q10" ca="1">SUM(
IF(DataT[Brand Safety 
'[% Failed by Keyword']]&lt;&gt;"NULL",
IF(DataT[Device Type]=ColumnT[[#This Row],[Metric]],
DataT[Brand Safety 
'[% Failed by Keyword']]*
SUBTOTAL(9,OFFSET(DataT[Total Impressions],ROW(DataT[Total Impressions])-MIN(ROW(DataT[Total Impressions])),0,1)))))
/
SUM(
IF(DataT[Brand Safety 
'[% Failed by Keyword']]&lt;&gt;"NULL",
IF(DataT[Device Type]=ColumnT[[#This Row],[Metric]],
SUBTOTAL(9,OFFSET(DataT[Total Impressions],ROW(DataT[Total Impressions])-MIN(ROW(DataT[Total Impressions])),0,1)))))</f>
        <v>#DIV/0!</v>
      </c>
      <c r="R10" s="175" t="e">
        <f t="array" aca="1" ref="R10" ca="1">SUM(
IF(DataT[Brand Safety 
'[% Failed by Blacklist']]&lt;&gt;"NULL",
IF(DataT[Device Type]=ColumnT[[#This Row],[Metric]],
DataT[Brand Safety 
'[% Failed by Blacklist']]*
SUBTOTAL(9,OFFSET(DataT[Total Impressions],ROW(DataT[Total Impressions])-MIN(ROW(DataT[Total Impressions])),0,1)))))
/
SUM(
IF(DataT[Brand Safety 
'[% Failed by Blacklist']]&lt;&gt;"NULL",
IF(DataT[Device Type]=ColumnT[[#This Row],[Metric]],
SUBTOTAL(9,OFFSET(DataT[Total Impressions],ROW(DataT[Total Impressions])-MIN(ROW(DataT[Total Impressions])),0,1)))))</f>
        <v>#DIV/0!</v>
      </c>
      <c r="S10" s="175" t="e">
        <f t="array" aca="1" ref="S10" ca="1">SUM(
IF(DataT[Brand Safety 
'[% Failed by Language']]&lt;&gt;"NULL",
IF(DataT[Device Type]=ColumnT[[#This Row],[Metric]],
DataT[Brand Safety 
'[% Failed by Language']]*
SUBTOTAL(9,OFFSET(DataT[Total Impressions],ROW(DataT[Total Impressions])-MIN(ROW(DataT[Total Impressions])),0,1)))))
/
SUM(
IF(DataT[Brand Safety 
'[% Failed by Language']]&lt;&gt;"NULL",
IF(DataT[Device Type]=ColumnT[[#This Row],[Metric]],
SUBTOTAL(9,OFFSET(DataT[Total Impressions],ROW(DataT[Total Impressions])-MIN(ROW(DataT[Total Impressions])),0,1)))))</f>
        <v>#DIV/0!</v>
      </c>
      <c r="T10" s="175" t="e">
        <f t="array" aca="1" ref="T10" ca="1">SUM(
IF(DataT[Fraud 
'[% Fraud']]&lt;&gt;"NULL",
IF(DataT[Device Type]=ColumnT[[#This Row],[Metric]],
DataT[Fraud 
'[% Fraud']]*
SUBTOTAL(9,OFFSET(DataT[Total Impressions],ROW(DataT[Total Impressions])-MIN(ROW(DataT[Total Impressions])),0,1)))))
/
SUM(
IF(DataT[Fraud 
'[% Fraud']]&lt;&gt;"NULL",
IF(DataT[Device Type]=ColumnT[[#This Row],[Metric]],
SUBTOTAL(9,OFFSET(DataT[Total Impressions],ROW(DataT[Total Impressions])-MIN(ROW(DataT[Total Impressions])),0,1)))))</f>
        <v>#DIV/0!</v>
      </c>
      <c r="U10" s="175" t="e">
        <f t="array" aca="1" ref="U10" ca="1">SUM(
IF(DataT[Viewability 
'[Total Viewable Rate (Total Net Metrics)']]&lt;&gt;"NULL",
IF(DataT[Device Type]=ColumnT[[#This Row],[Metric]],
DataT[Viewability 
'[Total Viewable Rate (Total Net Metrics)']]*
SUBTOTAL(9,OFFSET(DataT[Total Impressions],ROW(DataT[Total Impressions])-MIN(ROW(DataT[Total Impressions])),0,1)))))
/
SUM(
IF(DataT[Viewability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V10" s="175" t="e">
        <f t="array" aca="1" ref="V10" ca="1">SUM(
IF(DataT[Display Viewability 
'[Total Viewable Rate (Total Net Metrics)']]&lt;&gt;"NULL",
IF(DataT[Device Type]=ColumnT[[#This Row],[Metric]],
DataT[Display Viewability 
'[Total Viewable Rate (Total Net Metrics)']]*
SUBTOTAL(9,OFFSET(DataT[Total Impressions],ROW(DataT[Total Impressions])-MIN(ROW(DataT[Total Impressions])),0,1)))))
/
SUM(
IF(DataT[Display 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W10" s="175" t="e">
        <f t="array" aca="1" ref="W10" ca="1">SUM(
IF(DataT[Video Viewability 
'[Total Viewable Rate (Total Net Metrics)']]&lt;&gt;"NULL",
IF(DataT[Device Type]=ColumnT[[#This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X10" s="175" t="e">
        <f t="array" aca="1" ref="X10" ca="1">SUM(
IF(DataT[GroupM Viewability 
'[% Display Ads Fully in View']]&lt;&gt;"NULL",
IF(DataT[Device Type]=ColumnT[[#This Row],[Metric]],
DataT[GroupM Viewability 
'[% Display Ads Fully in View']]*
SUBTOTAL(9,OFFSET(DataT[Total Impressions],ROW(DataT[Total Impressions])-MIN(ROW(DataT[Total Impressions])),0,1)))))
/
SUM(
IF(DataT[GroupM Viewability 
'[% Display Ads Fully in View']]&lt;&gt;"NULL",
IF(DataT[Device Type]=ColumnT[[#This Row],[Metric]],
SUBTOTAL(9,OFFSET(DataT[Total Impressions],ROW(DataT[Total Impressions])-MIN(ROW(DataT[Total Impressions])),0,1)))))</f>
        <v>#DIV/0!</v>
      </c>
      <c r="Y10" s="175" t="e">
        <f t="array" aca="1" ref="Y10" ca="1">SUM(
IF(DataT[GroupM Viewability 
'[% Videos Fully in View']]&lt;&gt;"NULL",
IF(DataT[Device Type]=ColumnT[[#This Row],[Metric]],
DataT[GroupM Viewability 
'[% Videos Fully in View']]*
SUBTOTAL(9,OFFSET(DataT[Total Impressions],ROW(DataT[Total Impressions])-MIN(ROW(DataT[Total Impressions])),0,1)))))
/
SUM(
IF(DataT[GroupM Viewability 
'[% Videos Fully in View']]&lt;&gt;"NULL",
IF(DataT[Device Type]=ColumnT[[#This Row],[Metric]],
SUBTOTAL(9,OFFSET(DataT[Total Impressions],ROW(DataT[Total Impressions])-MIN(ROW(DataT[Total Impressions])),0,1)))))</f>
        <v>#DIV/0!</v>
      </c>
      <c r="Z10" s="175" t="e">
        <f t="array" aca="1" ref="Z10" ca="1">SUM(
IF(DataT[Publicis Viewability 
'[% Display Ads Fully in View']]&lt;&gt;"NULL",
IF(DataT[Device Type]=ColumnT[[#This Row],[Metric]],
DataT[Publicis Viewability 
'[% Display Ads Fully in View']]*
SUBTOTAL(9,OFFSET(DataT[Total Impressions],ROW(DataT[Total Impressions])-MIN(ROW(DataT[Total Impressions])),0,1)))))
/
SUM(
IF(DataT[Publicis Viewability 
'[% Display Ads Fully in View']]&lt;&gt;"NULL",
IF(DataT[Device Type]=ColumnT[[#This Row],[Metric]],
SUBTOTAL(9,OFFSET(DataT[Total Impressions],ROW(DataT[Total Impressions])-MIN(ROW(DataT[Total Impressions])),0,1)))))</f>
        <v>#DIV/0!</v>
      </c>
      <c r="AA10" s="175" t="e">
        <f t="array" aca="1" ref="AA10" ca="1">SUM(
IF(DataT[Publicis Viewability 
'[% Videos Fully in View']]&lt;&gt;"NULL",
IF(DataT[Device Type]=ColumnT[[#This Row],[Metric]],
DataT[Publicis Viewability 
'[% Videos Fully in View']]*
SUBTOTAL(9,OFFSET(DataT[Total Impressions],ROW(DataT[Total Impressions])-MIN(ROW(DataT[Total Impressions])),0,1)))))
/
SUM(
IF(DataT[Publicis Viewability 
'[% Videos Fully in View']]&lt;&gt;"NULL",
IF(DataT[Device Type]=ColumnT[[#This Row],[Metric]],
SUBTOTAL(9,OFFSET(DataT[Total Impressions],ROW(DataT[Total Impressions])-MIN(ROW(DataT[Total Impressions])),0,1)))))</f>
        <v>#DIV/0!</v>
      </c>
      <c r="AB10" s="150"/>
    </row>
    <row r="11" spans="1:122" s="139" customFormat="1" ht="16" hidden="1" customHeight="1" x14ac:dyDescent="0.35">
      <c r="A11" s="176"/>
      <c r="B11" s="177"/>
      <c r="C11" s="177"/>
      <c r="D11" s="178"/>
      <c r="E11" s="145"/>
      <c r="F11" s="146"/>
      <c r="G11" s="172" t="s">
        <v>14</v>
      </c>
      <c r="H11" s="172"/>
      <c r="I11" s="151"/>
      <c r="J11" s="173" t="s">
        <v>140</v>
      </c>
      <c r="K11" s="174" t="e">
        <f t="array" aca="1" ref="K11" ca="1">SUM(
IF(DataT[Measured Rate 
'[% Measured']]&lt;&gt;"NULL",
IF(DataT[Region (Team)]=ColumnT[[#This Row],[Metric]],
DataT[Measured Rate 
'[% Measured']]*
SUBTOTAL(9,OFFSET(DataT[Total Impressions],ROW(DataT[Total Impressions])-MIN(ROW(DataT[Total Impressions])),0,1)))))
/
SUM(
IF(DataT[Measured Rate 
'[% Measured']]&lt;&gt;"NULL",
IF(DataT[Region (Team)]=ColumnT[[#This Row],[Metric]],
SUBTOTAL(9,OFFSET(DataT[Total Impressions],ROW(DataT[Total Impressions])-MIN(ROW(DataT[Total Impressions])),0,1)))))</f>
        <v>#DIV/0!</v>
      </c>
      <c r="L11" s="175" t="e">
        <f t="array" aca="1" ref="L11" ca="1">SUM(
IF(DataT[See-Through Rate 
'[% Visible']]&lt;&gt;"NULL",
IF(DataT[Region (Team)]=ColumnT[[#This Row],[Metric]],
DataT[See-Through Rate 
'[% Visible']]*
SUBTOTAL(9,OFFSET(DataT[Total Impressions],ROW(DataT[Total Impressions])-MIN(ROW(DataT[Total Impressions])),0,1)))))
/
SUM(
IF(DataT[See-Through Rate 
'[% Visible']]&lt;&gt;"NULL",
IF(DataT[Region (Team)]=ColumnT[[#This Row],[Metric]],
SUBTOTAL(9,OFFSET(DataT[Total Impressions],ROW(DataT[Total Impressions])-MIN(ROW(DataT[Total Impressions])),0,1)))))</f>
        <v>#DIV/0!</v>
      </c>
      <c r="M11" s="175" t="e">
        <f t="array" aca="1" ref="M11" ca="1">SUM(
IF(DataT[Brand Safety 
'[% Passed']]&lt;&gt;"NULL",
IF(DataT[Region (Team)]=ColumnT[[#This Row],[Metric]],
DataT[Brand Safety 
'[% Passed']]*
SUBTOTAL(9,OFFSET(DataT[Total Impressions],ROW(DataT[Total Impressions])-MIN(ROW(DataT[Total Impressions])),0,1)))))
/
SUM(
IF(DataT[Brand Safety 
'[% Passed']]&lt;&gt;"NULL",
IF(DataT[Region (Team)]=ColumnT[[#This Row],[Metric]],
SUBTOTAL(9,OFFSET(DataT[Total Impressions],ROW(DataT[Total Impressions])-MIN(ROW(DataT[Total Impressions])),0,1)))))</f>
        <v>#DIV/0!</v>
      </c>
      <c r="N11" s="175" t="e">
        <f t="array" aca="1" ref="N11" ca="1">SUM(
IF(DataT[Brand Safety 
'[% Failed']]&lt;&gt;"NULL",
IF(DataT[Region (Team)]=ColumnT[[#This Row],[Metric]],
DataT[Brand Safety 
'[% Failed']]*
SUBTOTAL(9,OFFSET(DataT[Total Impressions],ROW(DataT[Total Impressions])-MIN(ROW(DataT[Total Impressions])),0,1)))))
/
SUM(
IF(DataT[Brand Safety 
'[% Failed']]&lt;&gt;"NULL",
IF(DataT[Region (Team)]=ColumnT[[#This Row],[Metric]],
SUBTOTAL(9,OFFSET(DataT[Total Impressions],ROW(DataT[Total Impressions])-MIN(ROW(DataT[Total Impressions])),0,1)))))</f>
        <v>#DIV/0!</v>
      </c>
      <c r="O11" s="175" t="e">
        <f t="array" aca="1" ref="O11" ca="1">SUM(
IF(DataT[Brand Safety 
'[% Failed by Content']]&lt;&gt;"NULL",
IF(DataT[Region (Team)]=ColumnT[[#This Row],[Metric]],
DataT[Brand Safety 
'[% Failed by Content']]*
SUBTOTAL(9,OFFSET(DataT[Total Impressions],ROW(DataT[Total Impressions])-MIN(ROW(DataT[Total Impressions])),0,1)))))
/
SUM(
IF(DataT[Brand Safety 
'[% Failed by Content']]&lt;&gt;"NULL",
IF(DataT[Region (Team)]=ColumnT[[#This Row],[Metric]],
SUBTOTAL(9,OFFSET(DataT[Total Impressions],ROW(DataT[Total Impressions])-MIN(ROW(DataT[Total Impressions])),0,1)))))</f>
        <v>#DIV/0!</v>
      </c>
      <c r="P11" s="175" t="e">
        <f t="array" aca="1" ref="P11" ca="1">SUM(
IF(DataT[Brand Safety 
'[% Failed by Geo']]&lt;&gt;"NULL",
IF(DataT[Region (Team)]=ColumnT[[#This Row],[Metric]],
DataT[Brand Safety 
'[% Failed by Geo']]*
SUBTOTAL(9,OFFSET(DataT[Total Impressions],ROW(DataT[Total Impressions])-MIN(ROW(DataT[Total Impressions])),0,1)))))
/
SUM(
IF(DataT[Brand Safety 
'[% Failed by Geo']]&lt;&gt;"NULL",
IF(DataT[Region (Team)]=ColumnT[[#This Row],[Metric]],
SUBTOTAL(9,OFFSET(DataT[Total Impressions],ROW(DataT[Total Impressions])-MIN(ROW(DataT[Total Impressions])),0,1)))))</f>
        <v>#DIV/0!</v>
      </c>
      <c r="Q11" s="175" t="e">
        <f t="array" aca="1" ref="Q11" ca="1">SUM(
IF(DataT[Brand Safety 
'[% Failed by Keyword']]&lt;&gt;"NULL",
IF(DataT[Region (Team)]=ColumnT[[#This Row],[Metric]],
DataT[Brand Safety 
'[% Failed by Keyword']]*
SUBTOTAL(9,OFFSET(DataT[Total Impressions],ROW(DataT[Total Impressions])-MIN(ROW(DataT[Total Impressions])),0,1)))))
/
SUM(
IF(DataT[Brand Safety 
'[% Failed by Keyword']]&lt;&gt;"NULL",
IF(DataT[Region (Team)]=ColumnT[[#This Row],[Metric]],
SUBTOTAL(9,OFFSET(DataT[Total Impressions],ROW(DataT[Total Impressions])-MIN(ROW(DataT[Total Impressions])),0,1)))))</f>
        <v>#DIV/0!</v>
      </c>
      <c r="R11" s="175" t="e">
        <f t="array" aca="1" ref="R11" ca="1">SUM(
IF(DataT[Brand Safety 
'[% Failed by Blacklist']]&lt;&gt;"NULL",
IF(DataT[Region (Team)]=ColumnT[[#This Row],[Metric]],
DataT[Brand Safety 
'[% Failed by Blacklist']]*
SUBTOTAL(9,OFFSET(DataT[Total Impressions],ROW(DataT[Total Impressions])-MIN(ROW(DataT[Total Impressions])),0,1)))))
/
SUM(
IF(DataT[Brand Safety 
'[% Failed by Blacklist']]&lt;&gt;"NULL",
IF(DataT[Region (Team)]=ColumnT[[#This Row],[Metric]],
SUBTOTAL(9,OFFSET(DataT[Total Impressions],ROW(DataT[Total Impressions])-MIN(ROW(DataT[Total Impressions])),0,1)))))</f>
        <v>#DIV/0!</v>
      </c>
      <c r="S11" s="175" t="e">
        <f t="array" aca="1" ref="S11" ca="1">SUM(
IF(DataT[Brand Safety 
'[% Failed by Language']]&lt;&gt;"NULL",
IF(DataT[Region (Team)]=ColumnT[[#This Row],[Metric]],
DataT[Brand Safety 
'[% Failed by Language']]*
SUBTOTAL(9,OFFSET(DataT[Total Impressions],ROW(DataT[Total Impressions])-MIN(ROW(DataT[Total Impressions])),0,1)))))
/
SUM(
IF(DataT[Brand Safety 
'[% Failed by Language']]&lt;&gt;"NULL",
IF(DataT[Region (Team)]=ColumnT[[#This Row],[Metric]],
SUBTOTAL(9,OFFSET(DataT[Total Impressions],ROW(DataT[Total Impressions])-MIN(ROW(DataT[Total Impressions])),0,1)))))</f>
        <v>#DIV/0!</v>
      </c>
      <c r="T11" s="175" t="e">
        <f t="array" aca="1" ref="T11" ca="1">SUM(
IF(DataT[Fraud 
'[% Fraud']]&lt;&gt;"NULL",
IF(DataT[Region (Team)]=ColumnT[[#This Row],[Metric]],
DataT[Fraud 
'[% Fraud']]*
SUBTOTAL(9,OFFSET(DataT[Total Impressions],ROW(DataT[Total Impressions])-MIN(ROW(DataT[Total Impressions])),0,1)))))
/
SUM(
IF(DataT[Fraud 
'[% Fraud']]&lt;&gt;"NULL",
IF(DataT[Region (Team)]=ColumnT[[#This Row],[Metric]],
SUBTOTAL(9,OFFSET(DataT[Total Impressions],ROW(DataT[Total Impressions])-MIN(ROW(DataT[Total Impressions])),0,1)))))</f>
        <v>#DIV/0!</v>
      </c>
      <c r="U11" s="175" t="e">
        <f t="array" aca="1" ref="U11" ca="1">SUM(
IF(DataT[Viewability 
'[Total Viewable Rate (Total Net Metrics)']]&lt;&gt;"NULL",
IF(DataT[Region (Team)]=ColumnT[[#This Row],[Metric]],
DataT[Viewability 
'[Total Viewable Rate (Total Net Metrics)']]*
SUBTOTAL(9,OFFSET(DataT[Total Impressions],ROW(DataT[Total Impressions])-MIN(ROW(DataT[Total Impressions])),0,1)))))
/
SUM(
IF(DataT[Viewability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V11" s="175" t="e">
        <f t="array" aca="1" ref="V11" ca="1">SUM(
IF(DataT[Display Viewability 
'[Total Viewable Rate (Total Net Metrics)']]&lt;&gt;"NULL",
IF(DataT[Region (Team)]=ColumnT[[#This Row],[Metric]],
DataT[Display Viewability 
'[Total Viewable Rate (Total Net Metrics)']]*
SUBTOTAL(9,OFFSET(DataT[Total Impressions],ROW(DataT[Total Impressions])-MIN(ROW(DataT[Total Impressions])),0,1)))))
/
SUM(
IF(DataT[Display 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W11" s="175" t="e">
        <f t="array" aca="1" ref="W11" ca="1">SUM(
IF(DataT[Video Viewability 
'[Total Viewable Rate (Total Net Metrics)']]&lt;&gt;"NULL",
IF(DataT[Region (Team)]=ColumnT[[#This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X11" s="175" t="e">
        <f t="array" aca="1" ref="X11" ca="1">SUM(
IF(DataT[GroupM Viewability 
'[% Display Ads Fully in View']]&lt;&gt;"NULL",
IF(DataT[Region (Team)]=ColumnT[[#This Row],[Metric]],
DataT[GroupM Viewability 
'[% Display Ads Fully in View']]*
SUBTOTAL(9,OFFSET(DataT[Total Impressions],ROW(DataT[Total Impressions])-MIN(ROW(DataT[Total Impressions])),0,1)))))
/
SUM(
IF(DataT[GroupM Viewability 
'[% Display Ads Fully in View']]&lt;&gt;"NULL",
IF(DataT[Region (Team)]=ColumnT[[#This Row],[Metric]],
SUBTOTAL(9,OFFSET(DataT[Total Impressions],ROW(DataT[Total Impressions])-MIN(ROW(DataT[Total Impressions])),0,1)))))</f>
        <v>#DIV/0!</v>
      </c>
      <c r="Y11" s="175" t="e">
        <f t="array" aca="1" ref="Y11" ca="1">SUM(
IF(DataT[GroupM Viewability 
'[% Videos Fully in View']]&lt;&gt;"NULL",
IF(DataT[Region (Team)]=ColumnT[[#This Row],[Metric]],
DataT[GroupM Viewability 
'[% Videos Fully in View']]*
SUBTOTAL(9,OFFSET(DataT[Total Impressions],ROW(DataT[Total Impressions])-MIN(ROW(DataT[Total Impressions])),0,1)))))
/
SUM(
IF(DataT[GroupM Viewability 
'[% Videos Fully in View']]&lt;&gt;"NULL",
IF(DataT[Region (Team)]=ColumnT[[#This Row],[Metric]],
SUBTOTAL(9,OFFSET(DataT[Total Impressions],ROW(DataT[Total Impressions])-MIN(ROW(DataT[Total Impressions])),0,1)))))</f>
        <v>#DIV/0!</v>
      </c>
      <c r="Z11" s="175" t="e">
        <f t="array" aca="1" ref="Z11" ca="1">SUM(
IF(DataT[Publicis Viewability 
'[% Display Ads Fully in View']]&lt;&gt;"NULL",
IF(DataT[Region (Team)]=ColumnT[[#This Row],[Metric]],
DataT[Publicis Viewability 
'[% Display Ads Fully in View']]*
SUBTOTAL(9,OFFSET(DataT[Total Impressions],ROW(DataT[Total Impressions])-MIN(ROW(DataT[Total Impressions])),0,1)))))
/
SUM(
IF(DataT[Publicis Viewability 
'[% Display Ads Fully in View']]&lt;&gt;"NULL",
IF(DataT[Region (Team)]=ColumnT[[#This Row],[Metric]],
SUBTOTAL(9,OFFSET(DataT[Total Impressions],ROW(DataT[Total Impressions])-MIN(ROW(DataT[Total Impressions])),0,1)))))</f>
        <v>#DIV/0!</v>
      </c>
      <c r="AA11" s="175" t="e">
        <f t="array" aca="1" ref="AA11" ca="1">SUM(
IF(DataT[Publicis Viewability 
'[% Videos Fully in View']]&lt;&gt;"NULL",
IF(DataT[Region (Team)]=ColumnT[[#This Row],[Metric]],
DataT[Publicis Viewability 
'[% Videos Fully in View']]*
SUBTOTAL(9,OFFSET(DataT[Total Impressions],ROW(DataT[Total Impressions])-MIN(ROW(DataT[Total Impressions])),0,1)))))
/
SUM(
IF(DataT[Publicis Viewability 
'[% Videos Fully in View']]&lt;&gt;"NULL",
IF(DataT[Region (Team)]=ColumnT[[#This Row],[Metric]],
SUBTOTAL(9,OFFSET(DataT[Total Impressions],ROW(DataT[Total Impressions])-MIN(ROW(DataT[Total Impressions])),0,1)))))</f>
        <v>#DIV/0!</v>
      </c>
      <c r="AB11" s="150"/>
    </row>
    <row r="12" spans="1:122" s="139" customFormat="1" ht="16.5" hidden="1" customHeight="1" x14ac:dyDescent="0.35">
      <c r="A12" s="151"/>
      <c r="B12" s="152"/>
      <c r="C12" s="152"/>
      <c r="D12" s="153"/>
      <c r="E12" s="145"/>
      <c r="F12" s="146"/>
      <c r="G12" s="209" t="s">
        <v>8</v>
      </c>
      <c r="H12" s="209"/>
      <c r="I12" s="151"/>
      <c r="J12" s="179" t="s">
        <v>7</v>
      </c>
      <c r="K12" s="180"/>
      <c r="L12" s="180"/>
      <c r="M12" s="181"/>
      <c r="N12" s="180"/>
      <c r="O12" s="180"/>
      <c r="P12" s="180"/>
      <c r="Q12" s="180"/>
      <c r="R12" s="180"/>
      <c r="S12" s="180"/>
      <c r="T12" s="180"/>
      <c r="U12" s="180"/>
      <c r="V12" s="180"/>
      <c r="W12" s="175"/>
      <c r="X12" s="180"/>
      <c r="Y12" s="180"/>
      <c r="Z12" s="180"/>
      <c r="AA12" s="180"/>
      <c r="AB12" s="150"/>
    </row>
    <row r="13" spans="1:122" s="139" customFormat="1" ht="15.75" hidden="1" customHeight="1" x14ac:dyDescent="0.35">
      <c r="A13" s="144"/>
      <c r="B13" s="182"/>
      <c r="C13" s="182"/>
      <c r="D13" s="183"/>
      <c r="E13" s="184"/>
      <c r="F13" s="146"/>
      <c r="G13" s="209" t="s">
        <v>8</v>
      </c>
      <c r="H13" s="209"/>
      <c r="I13" s="151"/>
      <c r="J13" s="185" t="s">
        <v>6</v>
      </c>
      <c r="K13" s="186">
        <v>0</v>
      </c>
      <c r="L13" s="186">
        <v>0</v>
      </c>
      <c r="M13" s="186">
        <v>0</v>
      </c>
      <c r="N13" s="186">
        <v>0</v>
      </c>
      <c r="O13" s="186">
        <v>0</v>
      </c>
      <c r="P13" s="186">
        <v>0</v>
      </c>
      <c r="Q13" s="186">
        <v>1</v>
      </c>
      <c r="R13" s="186">
        <v>0</v>
      </c>
      <c r="S13" s="186">
        <v>0</v>
      </c>
      <c r="T13" s="186">
        <v>0</v>
      </c>
      <c r="U13" s="186">
        <v>0</v>
      </c>
      <c r="V13" s="186">
        <v>0</v>
      </c>
      <c r="W13" s="186">
        <v>0</v>
      </c>
      <c r="X13" s="186">
        <v>0</v>
      </c>
      <c r="Y13" s="186">
        <v>0</v>
      </c>
      <c r="Z13" s="186">
        <v>0</v>
      </c>
      <c r="AA13" s="186">
        <v>0</v>
      </c>
      <c r="AB13" s="150"/>
    </row>
    <row r="14" spans="1:122" s="139" customFormat="1" ht="15.75" customHeight="1" thickBot="1" x14ac:dyDescent="0.4">
      <c r="B14" s="144"/>
      <c r="C14" s="187"/>
      <c r="D14" s="144"/>
      <c r="E14" s="188"/>
      <c r="F14" s="134" t="s">
        <v>21</v>
      </c>
      <c r="G14" s="134" t="s">
        <v>21</v>
      </c>
      <c r="H14" s="187"/>
      <c r="I14" s="134" t="s">
        <v>21</v>
      </c>
      <c r="J14" s="189"/>
      <c r="K14" s="190"/>
      <c r="L14" s="190"/>
      <c r="M14" s="190"/>
      <c r="N14" s="190"/>
      <c r="O14" s="190"/>
      <c r="P14" s="189"/>
      <c r="Q14" s="189"/>
      <c r="R14" s="189"/>
      <c r="S14" s="189"/>
      <c r="T14" s="189"/>
      <c r="U14" s="189"/>
      <c r="V14" s="189"/>
      <c r="W14" s="189"/>
      <c r="X14" s="189"/>
      <c r="Y14" s="189"/>
      <c r="Z14" s="189"/>
      <c r="AA14" s="189"/>
      <c r="AB14" s="189"/>
      <c r="AC14" s="189"/>
      <c r="AD14" s="189"/>
      <c r="AE14" s="189"/>
      <c r="DQ14" s="150"/>
    </row>
    <row r="15" spans="1:122" s="142" customFormat="1" ht="42.75" customHeight="1" thickBot="1" x14ac:dyDescent="0.3">
      <c r="B15" s="191" t="s">
        <v>151</v>
      </c>
      <c r="C15" s="192" t="s">
        <v>20</v>
      </c>
      <c r="D15" s="193" t="s">
        <v>9</v>
      </c>
      <c r="E15" s="193" t="s">
        <v>141</v>
      </c>
      <c r="F15" s="193" t="s">
        <v>22</v>
      </c>
      <c r="G15" s="193" t="s">
        <v>38</v>
      </c>
      <c r="H15" s="149" t="s">
        <v>19</v>
      </c>
      <c r="I15" s="194" t="s">
        <v>11</v>
      </c>
      <c r="J15" s="195" t="s">
        <v>13</v>
      </c>
      <c r="K15" s="195" t="s">
        <v>4</v>
      </c>
      <c r="L15" s="195" t="s">
        <v>162</v>
      </c>
      <c r="M15" s="195" t="s">
        <v>23</v>
      </c>
      <c r="N15" s="195" t="s">
        <v>5</v>
      </c>
      <c r="O15" s="195" t="s">
        <v>24</v>
      </c>
      <c r="P15" s="195" t="s">
        <v>25</v>
      </c>
      <c r="Q15" s="195" t="s">
        <v>26</v>
      </c>
      <c r="R15" s="195" t="s">
        <v>27</v>
      </c>
      <c r="S15" s="195" t="s">
        <v>156</v>
      </c>
      <c r="T15" s="195" t="s">
        <v>28</v>
      </c>
      <c r="U15" s="195" t="s">
        <v>157</v>
      </c>
      <c r="V15" s="195" t="s">
        <v>158</v>
      </c>
      <c r="W15" s="195" t="s">
        <v>159</v>
      </c>
      <c r="X15" s="195" t="s">
        <v>160</v>
      </c>
      <c r="Y15" s="149" t="s">
        <v>161</v>
      </c>
      <c r="Z15" s="149" t="s">
        <v>163</v>
      </c>
      <c r="AA15" s="149" t="s">
        <v>164</v>
      </c>
    </row>
    <row r="16" spans="1:122" s="132" customFormat="1" ht="15" customHeight="1" thickBot="1" x14ac:dyDescent="0.3">
      <c r="B16" s="196" t="str">
        <f>IFERROR(
IF(DataT[[#Headers],[Region (Team)]]="Brand",VLOOKUP(DataT[[#This Row],[Campaign]],Map_Campaign[],2,0),
IF(DataT[[#Headers],[Region (Team)]]="Region (Team)",VLOOKUP(DataT[[#This Row],[Team]],Map_Team[],2,0),
IF(DataT[[#Headers],[Region (Team)]]="Region (Campaign)",VLOOKUP(DataT[[#This Row],[Campaign]],Map_Campaign[],3,0),
IF(DataT[[#Headers],[Region (Team)]]="Partner Type",VLOOKUP(DataT[[#This Row],[Partner]],Map_Partner[],2,0),
IF(DataT[[#Headers],[Region (Team)]]="Device Type",VLOOKUP(DataT[[#This Row],[Placement]],Map_Placement[],3,0),
IF(DataT[[#Headers],[Region (Team)]]="Creative Size",VLOOKUP(DataT[[#This Row],[Placement]],Map_Placement[],2,0),"Not a mapping option.")))))),
"[Unmapped]")</f>
        <v>USA</v>
      </c>
      <c r="C16" s="197" t="s">
        <v>35</v>
      </c>
      <c r="D16" s="198" t="s">
        <v>10</v>
      </c>
      <c r="E16" s="198" t="s">
        <v>10</v>
      </c>
      <c r="F16" s="198" t="s">
        <v>10</v>
      </c>
      <c r="G16" s="198" t="s">
        <v>10</v>
      </c>
      <c r="H16" s="198" t="s">
        <v>124</v>
      </c>
      <c r="I16" s="199">
        <v>292953764</v>
      </c>
      <c r="J16" s="200">
        <v>450881961</v>
      </c>
      <c r="K16" s="201">
        <v>0.7</v>
      </c>
      <c r="L16" s="201">
        <v>0.98</v>
      </c>
      <c r="M16" s="201">
        <v>0.95</v>
      </c>
      <c r="N16" s="201">
        <v>0.05</v>
      </c>
      <c r="O16" s="201">
        <v>0.02</v>
      </c>
      <c r="P16" s="201">
        <v>0.02</v>
      </c>
      <c r="Q16" s="201">
        <v>0.01</v>
      </c>
      <c r="R16" s="201">
        <v>0.01</v>
      </c>
      <c r="S16" s="201">
        <v>0.01</v>
      </c>
      <c r="T16" s="201">
        <v>0.03</v>
      </c>
      <c r="U16" s="201">
        <v>0.55000000000000004</v>
      </c>
      <c r="V16" s="201">
        <v>0.6</v>
      </c>
      <c r="W16" s="201">
        <v>0.5</v>
      </c>
      <c r="X16" s="201">
        <v>0.35</v>
      </c>
      <c r="Y16" s="201">
        <v>0.25</v>
      </c>
      <c r="Z16" s="201">
        <v>0.35</v>
      </c>
      <c r="AA16" s="201">
        <v>0.25</v>
      </c>
    </row>
    <row r="21" spans="7:8" ht="15" customHeight="1" x14ac:dyDescent="0.25">
      <c r="G21" s="202"/>
      <c r="H21" s="202"/>
    </row>
  </sheetData>
  <sheetProtection formatCells="0" insertColumns="0" insertRows="0" insertHyperlinks="0" deleteColumns="0" deleteRows="0" selectLockedCells="1" sort="0" autoFilter="0" pivotTables="0"/>
  <mergeCells count="8">
    <mergeCell ref="B9:D9"/>
    <mergeCell ref="G12:H12"/>
    <mergeCell ref="G13:H13"/>
    <mergeCell ref="G6:H6"/>
    <mergeCell ref="G7:H7"/>
    <mergeCell ref="G8:H8"/>
    <mergeCell ref="B6:D6"/>
    <mergeCell ref="B8:D8"/>
  </mergeCells>
  <conditionalFormatting sqref="K16:AA16">
    <cfRule type="cellIs" dxfId="59" priority="4" operator="equal">
      <formula>""</formula>
    </cfRule>
  </conditionalFormatting>
  <conditionalFormatting sqref="A9:G9 A1:XFD8 I9:XFD9 A10:XFD1048576">
    <cfRule type="expression" dxfId="58" priority="3">
      <formula>ISERROR(A1)</formula>
    </cfRule>
  </conditionalFormatting>
  <conditionalFormatting sqref="K9:AA11 K16:AA16">
    <cfRule type="expression" dxfId="57" priority="6">
      <formula>IF(K$7="N/A",0,IF(K$7="Above",K9&lt;=(1-$J$4)*K$8,K9&gt;=(1+$J$4)*K$8))</formula>
    </cfRule>
    <cfRule type="expression" dxfId="56" priority="7">
      <formula>IF(OR(K$7="N/A",K9=0),0,IF(K$7="Above",K9&gt;=(1+$J$3)*K$8,K9&lt;=(1-$J$3)*K$8))</formula>
    </cfRule>
  </conditionalFormatting>
  <conditionalFormatting sqref="H9">
    <cfRule type="expression" dxfId="55" priority="1">
      <formula>ISERROR(H9)</formula>
    </cfRule>
  </conditionalFormatting>
  <dataValidations disablePrompts="1" count="7">
    <dataValidation allowBlank="1" showInputMessage="1" showErrorMessage="1" errorTitle="Invalid Entry" error="Please select/enter a value from 1 to 5 from the dropdown." sqref="J11 K10:AA11 G9:G11 AB12:XFD13 J9 A13:E13 H9" xr:uid="{00000000-0002-0000-0000-000000000000}"/>
    <dataValidation type="list" allowBlank="1" showInputMessage="1" showErrorMessage="1" errorTitle="Invalid Entry" error="Please select/enter a value from 1 to 5 from the dropdown." sqref="J10" xr:uid="{00000000-0002-0000-00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0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0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000-000005000000}"/>
    <dataValidation allowBlank="1" showInputMessage="1" showErrorMessage="1" prompt="Cell will highlight red if performance deviates by more than this percentage of the client goal." sqref="J4" xr:uid="{00000000-0002-0000-0000-000006000000}"/>
    <dataValidation type="list" allowBlank="1" showInputMessage="1" showErrorMessage="1" sqref="Y27" xr:uid="{00000000-0002-0000-0000-000003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7661568D-FBA6-44F1-9562-148F8342E9C4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Q30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D21" sqref="D21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60.7265625" style="50" customWidth="1"/>
    <col min="5" max="5" width="60.7265625" style="50" hidden="1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13" t="s">
        <v>21</v>
      </c>
      <c r="F1" s="13" t="s">
        <v>21</v>
      </c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16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16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16"/>
      <c r="F4" s="16"/>
      <c r="G4" s="16"/>
      <c r="H4" s="11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16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B6" s="77" t="s">
        <v>155</v>
      </c>
      <c r="C6" s="77"/>
      <c r="D6" s="80" t="s">
        <v>155</v>
      </c>
      <c r="E6" s="82"/>
      <c r="F6" s="28"/>
      <c r="G6" s="220" t="s">
        <v>133</v>
      </c>
      <c r="H6" s="221"/>
      <c r="I6" s="90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16"/>
      <c r="B7" s="28"/>
      <c r="C7" s="28"/>
      <c r="D7" s="28"/>
      <c r="E7" s="28"/>
      <c r="F7" s="28"/>
      <c r="G7" s="229" t="s">
        <v>132</v>
      </c>
      <c r="H7" s="230"/>
      <c r="I7" s="109"/>
      <c r="J7" s="12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</row>
    <row r="8" spans="1:121" s="18" customFormat="1" ht="15.75" customHeight="1" x14ac:dyDescent="0.35">
      <c r="B8" s="70"/>
      <c r="C8" s="70"/>
      <c r="D8" s="81" t="str">
        <f ca="1">MID(CELL("filename",A1),FIND("]",CELL("filename",A1))+1,255)&amp;" Level Scorecard"</f>
        <v>Campaign Level Scorecard</v>
      </c>
      <c r="E8" s="28"/>
      <c r="F8" s="28"/>
      <c r="G8" s="231" t="s">
        <v>132</v>
      </c>
      <c r="H8" s="232"/>
      <c r="I8" s="129"/>
      <c r="J8" s="127" t="s">
        <v>16</v>
      </c>
      <c r="K8" s="128">
        <f>VLOOKUP(K6,Benchmark_Legend[],MATCH(ColumnC[[#This Row],[Metric]],Benchmark_Legend[#Headers],0),0)</f>
        <v>0.7</v>
      </c>
      <c r="L8" s="128">
        <f>VLOOKUP(L6,Benchmark_Legend[],MATCH(ColumnC[[#This Row],[Metric]],Benchmark_Legend[#Headers],0),0)</f>
        <v>0.98</v>
      </c>
      <c r="M8" s="128">
        <f>VLOOKUP(M6,Benchmark_Legend[],MATCH(ColumnC[[#This Row],[Metric]],Benchmark_Legend[#Headers],0),0)</f>
        <v>0.95</v>
      </c>
      <c r="N8" s="128">
        <f>VLOOKUP(N6,Benchmark_Legend[],MATCH(ColumnC[[#This Row],[Metric]],Benchmark_Legend[#Headers],0),0)</f>
        <v>0.05</v>
      </c>
      <c r="O8" s="128">
        <f>VLOOKUP(O6,Benchmark_Legend[],MATCH(ColumnC[[#This Row],[Metric]],Benchmark_Legend[#Headers],0),0)</f>
        <v>0.02</v>
      </c>
      <c r="P8" s="128">
        <f>VLOOKUP(P6,Benchmark_Legend[],MATCH(ColumnC[[#This Row],[Metric]],Benchmark_Legend[#Headers],0),0)</f>
        <v>0.02</v>
      </c>
      <c r="Q8" s="128">
        <f>VLOOKUP(Q6,Benchmark_Legend[],MATCH(ColumnC[[#This Row],[Metric]],Benchmark_Legend[#Headers],0),0)</f>
        <v>0.01</v>
      </c>
      <c r="R8" s="128">
        <f>VLOOKUP(R6,Benchmark_Legend[],MATCH(ColumnC[[#This Row],[Metric]],Benchmark_Legend[#Headers],0),0)</f>
        <v>0.01</v>
      </c>
      <c r="S8" s="128">
        <f>VLOOKUP(S6,Benchmark_Legend[],MATCH(ColumnC[[#This Row],[Metric]],Benchmark_Legend[#Headers],0),0)</f>
        <v>0.01</v>
      </c>
      <c r="T8" s="128">
        <f>VLOOKUP(T6,Benchmark_Legend[],MATCH(ColumnC[[#This Row],[Metric]],Benchmark_Legend[#Headers],0),0)</f>
        <v>0.03</v>
      </c>
      <c r="U8" s="128">
        <f>VLOOKUP(U6,Benchmark_Legend[],MATCH(ColumnC[[#This Row],[Metric]],Benchmark_Legend[#Headers],0),0)</f>
        <v>0.55000000000000004</v>
      </c>
      <c r="V8" s="128">
        <f>VLOOKUP(V6,Benchmark_Legend[],MATCH(ColumnC[[#This Row],[Metric]],Benchmark_Legend[#Headers],0),0)</f>
        <v>0.6</v>
      </c>
      <c r="W8" s="128">
        <f>VLOOKUP(W6,Benchmark_Legend[],MATCH(ColumnC[[#This Row],[Metric]],Benchmark_Legend[#Headers],0),0)</f>
        <v>0.5</v>
      </c>
      <c r="X8" s="128">
        <f>VLOOKUP(X6,Benchmark_Legend[],MATCH(ColumnC[[#This Row],[Metric]],Benchmark_Legend[#Headers],0),0)</f>
        <v>0.35</v>
      </c>
      <c r="Y8" s="128">
        <f>VLOOKUP(Y6,Benchmark_Legend[],MATCH(ColumnC[[#This Row],[Metric]],Benchmark_Legend[#Headers],0),0)</f>
        <v>0.25</v>
      </c>
      <c r="Z8" s="128">
        <f>VLOOKUP(Z6,Benchmark_Legend[],MATCH(ColumnC[[#This Row],[Metric]],Benchmark_Legend[#Headers],0),0)</f>
        <v>0.35</v>
      </c>
      <c r="AA8" s="128">
        <f>VLOOKUP(AA6,Benchmark_Legend[],MATCH(ColumnC[[#This Row],[Metric]],Benchmark_Legend[#Headers],0),0)</f>
        <v>0.25</v>
      </c>
    </row>
    <row r="9" spans="1:121" s="18" customFormat="1" ht="15.75" customHeight="1" thickBot="1" x14ac:dyDescent="0.4">
      <c r="B9" s="233" t="s">
        <v>154</v>
      </c>
      <c r="C9" s="233"/>
      <c r="D9" s="233"/>
      <c r="E9" s="28"/>
      <c r="F9" s="28"/>
      <c r="G9" s="118" t="s">
        <v>14</v>
      </c>
      <c r="H9" s="122" t="s">
        <v>14</v>
      </c>
      <c r="I9" s="110"/>
      <c r="J9" s="111" t="s">
        <v>130</v>
      </c>
      <c r="K9" s="100">
        <f t="array" aca="1" ref="K9" ca="1">SUM(
IF((DataC[Measured Rate 
'[% Measured']]&lt;&gt;"NULL"),
DataC[Measured Rate 
'[% Measured']]*
SUBTOTAL(9,OFFSET(DataC[Total Impressions],ROW(DataC[Total Impressions])-MIN(ROW(DataC[Total Impressions])),0,1))))
/
SUM(
IF((DataC[Measured Rate 
'[% Measured']]&lt;&gt;"NULL"),
SUBTOTAL(9,OFFSET(DataC[Total Impressions],ROW(DataC[Total Impressions])-MIN(ROW(DataC[Total Impressions])),0,1))))</f>
        <v>0.70397369012300004</v>
      </c>
      <c r="L9" s="100">
        <f t="array" aca="1" ref="L9" ca="1">SUM(
IF((DataC[See-Through Rate 
'[% Visible']]&lt;&gt;"NULL"),
DataC[See-Through Rate 
'[% Visible']]*
SUBTOTAL(9,OFFSET(DataC[Total Impressions],ROW(DataC[Total Impressions])-MIN(ROW(DataC[Total Impressions])),0,1))))
/
SUM(
IF((DataC[See-Through Rate 
'[% Visible']]&lt;&gt;"NULL"),
SUBTOTAL(9,OFFSET(DataC[Total Impressions],ROW(DataC[Total Impressions])-MIN(ROW(DataC[Total Impressions])),0,1))))</f>
        <v>0.95292479761900006</v>
      </c>
      <c r="M9" s="112">
        <f t="array" aca="1" ref="M9" ca="1">SUM(
IF((DataC[Brand Safety 
'[% Passed']]&lt;&gt;"NULL"),
DataC[Brand Safety 
'[% Passed']]*
SUBTOTAL(9,OFFSET(DataC[Total Impressions],ROW(DataC[Total Impressions])-MIN(ROW(DataC[Total Impressions])),0,1))))
/
SUM(
IF((DataC[Brand Safety 
'[% Passed']]&lt;&gt;"NULL"),
SUBTOTAL(9,OFFSET(DataC[Total Impressions],ROW(DataC[Total Impressions])-MIN(ROW(DataC[Total Impressions])),0,1))))</f>
        <v>4.7075202381199992E-2</v>
      </c>
      <c r="N9" s="112">
        <f t="array" aca="1" ref="N9" ca="1">SUM(
IF((DataC[Brand Safety 
'[% Failed']]&lt;&gt;"NULL"),
DataC[Brand Safety 
'[% Failed']]*
SUBTOTAL(9,OFFSET(DataC[Total Impressions],ROW(DataC[Total Impressions])-MIN(ROW(DataC[Total Impressions])),0,1))))
/
SUM(
IF((DataC[Brand Safety 
'[% Failed']]&lt;&gt;"NULL"),
SUBTOTAL(9,OFFSET(DataC[Total Impressions],ROW(DataC[Total Impressions])-MIN(ROW(DataC[Total Impressions])),0,1))))</f>
        <v>1.5841805863800001E-2</v>
      </c>
      <c r="O9" s="112">
        <f t="array" aca="1" ref="O9" ca="1">SUM(
IF((DataC[Brand Safety 
'[% Failed by Content']]&lt;&gt;"NULL"),
DataC[Brand Safety 
'[% Failed by Content']]*
SUBTOTAL(9,OFFSET(DataC[Total Impressions],ROW(DataC[Total Impressions])-MIN(ROW(DataC[Total Impressions])),0,1))))
/
SUM(
IF((DataC[Brand Safety 
'[% Failed by Content']]&lt;&gt;"NULL"),
SUBTOTAL(9,OFFSET(DataC[Total Impressions],ROW(DataC[Total Impressions])-MIN(ROW(DataC[Total Impressions])),0,1))))</f>
        <v>4.7008580414999992E-4</v>
      </c>
      <c r="P9" s="112">
        <f t="array" aca="1" ref="P9" ca="1">SUM(
IF((DataC[Brand Safety 
'[% Failed by Geo']]&lt;&gt;"NULL"),
DataC[Brand Safety 
'[% Failed by Geo']]*
SUBTOTAL(9,OFFSET(DataC[Total Impressions],ROW(DataC[Total Impressions])-MIN(ROW(DataC[Total Impressions])),0,1))))
/
SUM(
IF((DataC[Brand Safety 
'[% Failed by Geo']]&lt;&gt;"NULL"),
SUBTOTAL(9,OFFSET(DataC[Total Impressions],ROW(DataC[Total Impressions])-MIN(ROW(DataC[Total Impressions])),0,1))))</f>
        <v>2.1768992240599999E-2</v>
      </c>
      <c r="Q9" s="100">
        <f t="array" aca="1" ref="Q9" ca="1">SUM(
IF((DataC[Brand Safety 
'[% Failed by Keyword']]&lt;&gt;"NULL"),
DataC[Brand Safety 
'[% Failed by Keyword']]*
SUBTOTAL(9,OFFSET(DataC[Total Impressions],ROW(DataC[Total Impressions])-MIN(ROW(DataC[Total Impressions])),0,1))))
/
SUM(
IF((DataC[Brand Safety 
'[% Failed by Keyword']]&lt;&gt;"NULL"),
SUBTOTAL(9,OFFSET(DataC[Total Impressions],ROW(DataC[Total Impressions])-MIN(ROW(DataC[Total Impressions])),0,1))))</f>
        <v>1.7364074924200001E-4</v>
      </c>
      <c r="R9" s="100">
        <f t="array" aca="1" ref="R9" ca="1">SUM(
IF((DataC[Brand Safety 
'[% Failed by Blacklist']]&lt;&gt;"NULL"),
DataC[Brand Safety 
'[% Failed by Blacklist']]*
SUBTOTAL(9,OFFSET(DataC[Total Impressions],ROW(DataC[Total Impressions])-MIN(ROW(DataC[Total Impressions])),0,1))))
/
SUM(
IF((DataC[Brand Safety 
'[% Failed by Blacklist']]&lt;&gt;"NULL"),
SUBTOTAL(9,OFFSET(DataC[Total Impressions],ROW(DataC[Total Impressions])-MIN(ROW(DataC[Total Impressions])),0,1))))</f>
        <v>0</v>
      </c>
      <c r="S9" s="100">
        <f t="array" aca="1" ref="S9" ca="1">SUM(
IF((DataC[Brand Safety 
'[% Failed by Language']]&lt;&gt;"NULL"),
DataC[Brand Safety 
'[% Failed by Language']]*
SUBTOTAL(9,OFFSET(DataC[Total Impressions],ROW(DataC[Total Impressions])-MIN(ROW(DataC[Total Impressions])),0,1))))
/
SUM(
IF((DataC[Brand Safety 
'[% Failed by Language']]&lt;&gt;"NULL"),
SUBTOTAL(9,OFFSET(DataC[Total Impressions],ROW(DataC[Total Impressions])-MIN(ROW(DataC[Total Impressions])),0,1))))</f>
        <v>9.2195017271999996E-3</v>
      </c>
      <c r="T9" s="100">
        <f t="array" aca="1" ref="T9" ca="1">SUM(
IF((DataC[Fraud 
'[% Fraud']]&lt;&gt;"NULL"),
DataC[Fraud 
'[% Fraud']]*
SUBTOTAL(9,OFFSET(DataC[Total Impressions],ROW(DataC[Total Impressions])-MIN(ROW(DataC[Total Impressions])),0,1))))
/
SUM(
IF((DataC[Fraud 
'[% Fraud']]&lt;&gt;"NULL"),
SUBTOTAL(9,OFFSET(DataC[Total Impressions],ROW(DataC[Total Impressions])-MIN(ROW(DataC[Total Impressions])),0,1))))</f>
        <v>0.64080593717800005</v>
      </c>
      <c r="U9" s="100">
        <f t="array" aca="1" ref="U9" ca="1">SUM(
IF((DataC[Viewability 
'[Total Viewable Rate (Total Net Metrics)']]&lt;&gt;"NULL"),
DataC[Viewability 
'[Total Viewable Rate (Total Net Metrics)']]*SUBTOTAL(9,OFFSET(DataC[Measured Impressions],ROW(DataC[Measured Impressions])-MIN(ROW(DataC[Measured Impressions])),0,1))))
/
SUM(
IF((DataC[Viewability 
'[Total Viewable Rate (Total Net Metrics)']]&lt;&gt;"NULL"),
SUBTOTAL(9,OFFSET(DataC[Measured Impressions],ROW(DataC[Measured Impressions])-MIN(ROW(DataC[Measured Impressions])),0,1))))</f>
        <v>0.63650054192100003</v>
      </c>
      <c r="V9" s="100">
        <f t="array" aca="1" ref="V9" ca="1">SUM(
IF((DataC[Display Viewability 
'[Total Viewable Rate (Total Net Metrics)']]&lt;&gt;"NULL"),
DataC[Display Viewability 
'[Total Viewable Rate (Total Net Metrics)']]*SUBTOTAL(9,OFFSET(DataC[Measured Impressions],ROW(DataC[Measured Impressions])-MIN(ROW(DataC[Measured Impressions])),0,1))))
/
SUM(
IF((DataC[Display Viewability 
'[Total Viewable Rate (Total Net Metrics)']]&lt;&gt;"NULL"),
SUBTOTAL(9,OFFSET(DataC[Measured Impressions],ROW(DataC[Measured Impressions])-MIN(ROW(DataC[Measured Impressions])),0,1))))</f>
        <v>0.85731169793700013</v>
      </c>
      <c r="W9" s="112">
        <f t="array" aca="1" ref="W9" ca="1">SUM(
IF((DataC[Video Viewability 
'[Total Viewable Rate (Total Net Metrics)']]&lt;&gt;"NULL"),
DataC[Video Viewability 
'[Total Viewable Rate (Total Net Metrics)']]*SUBTOTAL(9,OFFSET(DataC[Measured Impressions],ROW(DataC[Measured Impressions])-MIN(ROW(DataC[Measured Impressions])),0,1))))
/
SUM(
IF((DataC[Video Viewability 
'[Total Viewable Rate (Total Net Metrics)']]&lt;&gt;"NULL"),
SUBTOTAL(9,OFFSET(DataC[Measured Impressions],ROW(DataC[Measured Impressions])-MIN(ROW(DataC[Measured Impressions])),0,1))))</f>
        <v>0</v>
      </c>
      <c r="X9" s="100">
        <f t="array" aca="1" ref="X9" ca="1">SUM(
IF((DataC[GroupM Viewability 
'[% Display Ads Fully in View']]&lt;&gt;"NULL"),
DataC[GroupM Viewability 
'[% Display Ads Fully in View']]*SUBTOTAL(9,OFFSET(DataC[Measured Impressions],ROW(DataC[Measured Impressions])-MIN(ROW(DataC[Measured Impressions])),0,1))))
/
SUM(
IF((DataC[GroupM Viewability 
'[% Display Ads Fully in View']]&lt;&gt;"NULL"),
SUBTOTAL(9,OFFSET(DataC[Measured Impressions],ROW(DataC[Measured Impressions])-MIN(ROW(DataC[Measured Impressions])),0,1))))</f>
        <v>0</v>
      </c>
      <c r="Y9" s="112">
        <f t="array" aca="1" ref="Y9" ca="1">SUM(
IF((DataC[GroupM Viewability 
'[% Videos Fully in View']]&lt;&gt;"NULL"),
DataC[GroupM Viewability 
'[% Videos Fully in View']]*SUBTOTAL(9,OFFSET(DataC[Measured Impressions],ROW(DataC[Measured Impressions])-MIN(ROW(DataC[Measured Impressions])),0,1))))
/
SUM(
IF((DataC[GroupM Viewability 
'[% Videos Fully in View']]&lt;&gt;"NULL"),
SUBTOTAL(9,OFFSET(DataC[Measured Impressions],ROW(DataC[Measured Impressions])-MIN(ROW(DataC[Measured Impressions])),0,1))))</f>
        <v>0</v>
      </c>
      <c r="Z9" s="100">
        <f t="array" aca="1" ref="Z9" ca="1">SUM(
IF((DataC[Publicis Viewability 
'[% Display Ads Fully in View']]&lt;&gt;"NULL"),
DataC[Publicis Viewability 
'[% Display Ads Fully in View']]*SUBTOTAL(9,OFFSET(DataC[Measured Impressions],ROW(DataC[Measured Impressions])-MIN(ROW(DataC[Measured Impressions])),0,1))))
/
SUM(
IF((DataC[Publicis Viewability 
'[% Display Ads Fully in View']]&lt;&gt;"NULL"),
SUBTOTAL(9,OFFSET(DataC[Measured Impressions],ROW(DataC[Measured Impressions])-MIN(ROW(DataC[Measured Impressions])),0,1))))</f>
        <v>0</v>
      </c>
      <c r="AA9" s="100">
        <f t="array" aca="1" ref="AA9" ca="1">SUM(
IF((DataC[Publicis Viewability 
'[% Videos Fully in View']]&lt;&gt;"NULL"),
DataC[Publicis Viewability 
'[% Videos Fully in View']]*SUBTOTAL(9,OFFSET(DataC[Measured Impressions],ROW(DataC[Measured Impressions])-MIN(ROW(DataC[Measured Impressions])),0,1))))
/
SUM(
IF((DataC[Publicis Viewability 
'[% Videos Fully in View']]&lt;&gt;"NULL"),
SUBTOTAL(9,OFFSET(DataC[Measured Impressions],ROW(DataC[Measured Impressions])-MIN(ROW(DataC[Measured Impressions])),0,1))))</f>
        <v>0</v>
      </c>
    </row>
    <row r="10" spans="1:121" s="18" customFormat="1" ht="15.75" hidden="1" customHeight="1" x14ac:dyDescent="0.35">
      <c r="A10" s="225"/>
      <c r="B10" s="226"/>
      <c r="C10" s="226"/>
      <c r="D10" s="227"/>
      <c r="E10" s="23"/>
      <c r="F10" s="28"/>
      <c r="G10" s="116" t="s">
        <v>14</v>
      </c>
      <c r="H10" s="116"/>
      <c r="I10" s="27"/>
      <c r="J10" s="102" t="s">
        <v>126</v>
      </c>
      <c r="K10" s="31" t="e">
        <f t="array" aca="1" ref="K10" ca="1">SUM(
IF(DataC[Measured Rate 
'[% Measured']]&lt;&gt;"NULL",
IF(DataC[Device Type]=ColumnC[[#This Row],[Metric]],
DataC[Measured Rate 
'[% Measured']]*
SUBTOTAL(9,OFFSET(DataC[Total Impressions],ROW(DataC[Total Impressions])-MIN(ROW(DataC[Total Impressions])),0,1)))))
/
SUM(
IF(DataC[Measured Rate 
'[% Measured']]&lt;&gt;"NULL",
IF(DataC[Device Type]=ColumnC[[#This Row],[Metric]],
SUBTOTAL(9,OFFSET(DataC[Total Impressions],ROW(DataC[Total Impressions])-MIN(ROW(DataC[Total Impressions])),0,1)))))</f>
        <v>#DIV/0!</v>
      </c>
      <c r="L10" s="32" t="e">
        <f t="array" aca="1" ref="L10" ca="1">SUM(
IF(DataC[See-Through Rate 
'[% Visible']]&lt;&gt;"NULL",
IF(DataC[Device Type]=ColumnC[[#This Row],[Metric]],
DataC[See-Through Rate 
'[% Visible']]*
SUBTOTAL(9,OFFSET(DataC[Total Impressions],ROW(DataC[Total Impressions])-MIN(ROW(DataC[Total Impressions])),0,1)))))
/
SUM(
IF(DataC[See-Through Rate 
'[% Visible']]&lt;&gt;"NULL",
IF(DataC[Device Type]=ColumnC[[#This Row],[Metric]],
SUBTOTAL(9,OFFSET(DataC[Total Impressions],ROW(DataC[Total Impressions])-MIN(ROW(DataC[Total Impressions])),0,1)))))</f>
        <v>#DIV/0!</v>
      </c>
      <c r="M10" s="32" t="e">
        <f t="array" aca="1" ref="M10" ca="1">SUM(
IF(DataC[Brand Safety 
'[% Passed']]&lt;&gt;"NULL",
IF(DataC[Device Type]=ColumnC[[#This Row],[Metric]],
DataC[Brand Safety 
'[% Passed']]*
SUBTOTAL(9,OFFSET(DataC[Total Impressions],ROW(DataC[Total Impressions])-MIN(ROW(DataC[Total Impressions])),0,1)))))
/
SUM(
IF(DataC[Brand Safety 
'[% Passed']]&lt;&gt;"NULL",
IF(DataC[Device Type]=ColumnC[[#This Row],[Metric]],
SUBTOTAL(9,OFFSET(DataC[Total Impressions],ROW(DataC[Total Impressions])-MIN(ROW(DataC[Total Impressions])),0,1)))))</f>
        <v>#DIV/0!</v>
      </c>
      <c r="N10" s="32" t="e">
        <f t="array" aca="1" ref="N10" ca="1">SUM(
IF(DataC[Brand Safety 
'[% Failed']]&lt;&gt;"NULL",
IF(DataC[Device Type]=ColumnC[[#This Row],[Metric]],
DataC[Brand Safety 
'[% Failed']]*
SUBTOTAL(9,OFFSET(DataC[Total Impressions],ROW(DataC[Total Impressions])-MIN(ROW(DataC[Total Impressions])),0,1)))))
/
SUM(
IF(DataC[Brand Safety 
'[% Failed']]&lt;&gt;"NULL",
IF(DataC[Device Type]=ColumnC[[#This Row],[Metric]],
SUBTOTAL(9,OFFSET(DataC[Total Impressions],ROW(DataC[Total Impressions])-MIN(ROW(DataC[Total Impressions])),0,1)))))</f>
        <v>#DIV/0!</v>
      </c>
      <c r="O10" s="32" t="e">
        <f t="array" aca="1" ref="O10" ca="1">SUM(
IF(DataC[Brand Safety 
'[% Failed by Content']]&lt;&gt;"NULL",
IF(DataC[Device Type]=ColumnC[[#This Row],[Metric]],
DataC[Brand Safety 
'[% Failed by Content']]*
SUBTOTAL(9,OFFSET(DataC[Total Impressions],ROW(DataC[Total Impressions])-MIN(ROW(DataC[Total Impressions])),0,1)))))
/
SUM(
IF(DataC[Brand Safety 
'[% Failed by Content']]&lt;&gt;"NULL",
IF(DataC[Device Type]=ColumnC[[#This Row],[Metric]],
SUBTOTAL(9,OFFSET(DataC[Total Impressions],ROW(DataC[Total Impressions])-MIN(ROW(DataC[Total Impressions])),0,1)))))</f>
        <v>#DIV/0!</v>
      </c>
      <c r="P10" s="32" t="e">
        <f t="array" aca="1" ref="P10" ca="1">SUM(
IF(DataC[Brand Safety 
'[% Failed by Geo']]&lt;&gt;"NULL",
IF(DataC[Device Type]=ColumnC[[#This Row],[Metric]],
DataC[Brand Safety 
'[% Failed by Geo']]*
SUBTOTAL(9,OFFSET(DataC[Total Impressions],ROW(DataC[Total Impressions])-MIN(ROW(DataC[Total Impressions])),0,1)))))
/
SUM(
IF(DataC[Brand Safety 
'[% Failed by Geo']]&lt;&gt;"NULL",
IF(DataC[Device Type]=ColumnC[[#This Row],[Metric]],
SUBTOTAL(9,OFFSET(DataC[Total Impressions],ROW(DataC[Total Impressions])-MIN(ROW(DataC[Total Impressions])),0,1)))))</f>
        <v>#DIV/0!</v>
      </c>
      <c r="Q10" s="32" t="e">
        <f t="array" aca="1" ref="Q10" ca="1">SUM(
IF(DataC[Brand Safety 
'[% Failed by Keyword']]&lt;&gt;"NULL",
IF(DataC[Device Type]=ColumnC[[#This Row],[Metric]],
DataC[Brand Safety 
'[% Failed by Keyword']]*
SUBTOTAL(9,OFFSET(DataC[Total Impressions],ROW(DataC[Total Impressions])-MIN(ROW(DataC[Total Impressions])),0,1)))))
/
SUM(
IF(DataC[Brand Safety 
'[% Failed by Keyword']]&lt;&gt;"NULL",
IF(DataC[Device Type]=ColumnC[[#This Row],[Metric]],
SUBTOTAL(9,OFFSET(DataC[Total Impressions],ROW(DataC[Total Impressions])-MIN(ROW(DataC[Total Impressions])),0,1)))))</f>
        <v>#DIV/0!</v>
      </c>
      <c r="R10" s="32" t="e">
        <f t="array" aca="1" ref="R10" ca="1">SUM(
IF(DataC[Brand Safety 
'[% Failed by Blacklist']]&lt;&gt;"NULL",
IF(DataC[Device Type]=ColumnC[[#This Row],[Metric]],
DataC[Brand Safety 
'[% Failed by Blacklist']]*
SUBTOTAL(9,OFFSET(DataC[Total Impressions],ROW(DataC[Total Impressions])-MIN(ROW(DataC[Total Impressions])),0,1)))))
/
SUM(
IF(DataC[Brand Safety 
'[% Failed by Blacklist']]&lt;&gt;"NULL",
IF(DataC[Device Type]=ColumnC[[#This Row],[Metric]],
SUBTOTAL(9,OFFSET(DataC[Total Impressions],ROW(DataC[Total Impressions])-MIN(ROW(DataC[Total Impressions])),0,1)))))</f>
        <v>#DIV/0!</v>
      </c>
      <c r="S10" s="32" t="e">
        <f t="array" aca="1" ref="S10" ca="1">SUM(
IF(DataC[Brand Safety 
'[% Failed by Language']]&lt;&gt;"NULL",
IF(DataC[Device Type]=ColumnC[[#This Row],[Metric]],
DataC[Brand Safety 
'[% Failed by Language']]*
SUBTOTAL(9,OFFSET(DataC[Total Impressions],ROW(DataC[Total Impressions])-MIN(ROW(DataC[Total Impressions])),0,1)))))
/
SUM(
IF(DataC[Brand Safety 
'[% Failed by Language']]&lt;&gt;"NULL",
IF(DataC[Device Type]=ColumnC[[#This Row],[Metric]],
SUBTOTAL(9,OFFSET(DataC[Total Impressions],ROW(DataC[Total Impressions])-MIN(ROW(DataC[Total Impressions])),0,1)))))</f>
        <v>#DIV/0!</v>
      </c>
      <c r="T10" s="32" t="e">
        <f t="array" aca="1" ref="T10" ca="1">SUM(
IF(DataC[Fraud 
'[% Fraud']]&lt;&gt;"NULL",
IF(DataC[Device Type]=ColumnC[[#This Row],[Metric]],
DataC[Fraud 
'[% Fraud']]*
SUBTOTAL(9,OFFSET(DataC[Total Impressions],ROW(DataC[Total Impressions])-MIN(ROW(DataC[Total Impressions])),0,1)))))
/
SUM(
IF(DataC[Fraud 
'[% Fraud']]&lt;&gt;"NULL",
IF(DataC[Device Type]=ColumnC[[#This Row],[Metric]],
SUBTOTAL(9,OFFSET(DataC[Total Impressions],ROW(DataC[Total Impressions])-MIN(ROW(DataC[Total Impressions])),0,1)))))</f>
        <v>#DIV/0!</v>
      </c>
      <c r="U10" s="32" t="e">
        <f t="array" aca="1" ref="U10" ca="1">SUM(
IF(DataC[Viewability 
'[Total Viewable Rate (Total Net Metrics)']]&lt;&gt;"NULL",
IF(DataC[Device Type]=ColumnC[[#This Row],[Metric]],
DataC[Viewability 
'[Total Viewable Rate (Total Net Metrics)']]*
SUBTOTAL(9,OFFSET(DataC[Total Impressions],ROW(DataC[Total Impressions])-MIN(ROW(DataC[Total Impressions])),0,1)))))
/
SUM(
IF(DataC[Viewability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V10" s="32" t="e">
        <f t="array" aca="1" ref="V10" ca="1">SUM(
IF(DataC[Display Viewability 
'[Total Viewable Rate (Total Net Metrics)']]&lt;&gt;"NULL",
IF(DataC[Device Type]=ColumnC[[#This Row],[Metric]],
DataC[Display Viewability 
'[Total Viewable Rate (Total Net Metrics)']]*
SUBTOTAL(9,OFFSET(DataC[Total Impressions],ROW(DataC[Total Impressions])-MIN(ROW(DataC[Total Impressions])),0,1)))))
/
SUM(
IF(DataC[Display 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W10" s="32" t="e">
        <f t="array" aca="1" ref="W10" ca="1">SUM(
IF(DataC[Video Viewability 
'[Total Viewable Rate (Total Net Metrics)']]&lt;&gt;"NULL",
IF(DataC[Device Type]=ColumnC[[#This Row],[Metric]],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X10" s="32" t="e">
        <f t="array" aca="1" ref="X10" ca="1">SUM(
IF(DataC[GroupM Viewability 
'[% Display Ads Fully in View']]&lt;&gt;"NULL",
IF(DataC[Device Type]=ColumnC[[#This Row],[Metric]],
DataC[GroupM Viewability 
'[% Display Ads Fully in View']]*
SUBTOTAL(9,OFFSET(DataC[Total Impressions],ROW(DataC[Total Impressions])-MIN(ROW(DataC[Total Impressions])),0,1)))))
/
SUM(
IF(DataC[GroupM Viewability 
'[% Display Ads Fully in View']]&lt;&gt;"NULL",
IF(DataC[Device Type]=ColumnC[[#This Row],[Metric]],
SUBTOTAL(9,OFFSET(DataC[Total Impressions],ROW(DataC[Total Impressions])-MIN(ROW(DataC[Total Impressions])),0,1)))))</f>
        <v>#DIV/0!</v>
      </c>
      <c r="Y10" s="32" t="e">
        <f t="array" aca="1" ref="Y10" ca="1">SUM(
IF(DataC[GroupM Viewability 
'[% Videos Fully in View']]&lt;&gt;"NULL",
IF(DataC[Device Type]=ColumnC[[#This Row],[Metric]],
DataC[GroupM Viewability 
'[% Videos Fully in View']]*
SUBTOTAL(9,OFFSET(DataC[Total Impressions],ROW(DataC[Total Impressions])-MIN(ROW(DataC[Total Impressions])),0,1)))))
/
SUM(
IF(DataC[GroupM Viewability 
'[% Videos Fully in View']]&lt;&gt;"NULL",
IF(DataC[Device Type]=ColumnC[[#This Row],[Metric]],
SUBTOTAL(9,OFFSET(DataC[Total Impressions],ROW(DataC[Total Impressions])-MIN(ROW(DataC[Total Impressions])),0,1)))))</f>
        <v>#DIV/0!</v>
      </c>
      <c r="Z10" s="32" t="e">
        <f t="array" aca="1" ref="Z10" ca="1">SUM(
IF(DataC[Publicis Viewability 
'[% Display Ads Fully in View']]&lt;&gt;"NULL",
IF(DataC[Device Type]=ColumnC[[#This Row],[Metric]],
DataC[Publicis Viewability 
'[% Display Ads Fully in View']]*
SUBTOTAL(9,OFFSET(DataC[Total Impressions],ROW(DataC[Total Impressions])-MIN(ROW(DataC[Total Impressions])),0,1)))))
/
SUM(
IF(DataC[Publicis Viewability 
'[% Display Ads Fully in View']]&lt;&gt;"NULL",
IF(DataC[Device Type]=ColumnC[[#This Row],[Metric]],
SUBTOTAL(9,OFFSET(DataC[Total Impressions],ROW(DataC[Total Impressions])-MIN(ROW(DataC[Total Impressions])),0,1)))))</f>
        <v>#DIV/0!</v>
      </c>
      <c r="AA10" s="32" t="e">
        <f t="array" aca="1" ref="AA10" ca="1">SUM(
IF(DataC[Publicis Viewability 
'[% Videos Fully in View']]&lt;&gt;"NULL",
IF(DataC[Device Type]=ColumnC[[#This Row],[Metric]],
DataC[Publicis Viewability 
'[% Videos Fully in View']]*
SUBTOTAL(9,OFFSET(DataC[Total Impressions],ROW(DataC[Total Impressions])-MIN(ROW(DataC[Total Impressions])),0,1)))))
/
SUM(
IF(DataC[Publicis Viewability 
'[% Videos Fully in View']]&lt;&gt;"NULL",
IF(DataC[Device Type]=ColumnC[[#This Row],[Metric]],
SUBTOTAL(9,OFFSET(DataC[Total Impressions],ROW(DataC[Total Impressions])-MIN(ROW(DataC[Total Impressions])),0,1)))))</f>
        <v>#DIV/0!</v>
      </c>
    </row>
    <row r="11" spans="1:121" s="18" customFormat="1" ht="16.5" hidden="1" customHeight="1" x14ac:dyDescent="0.35">
      <c r="A11" s="222"/>
      <c r="B11" s="223"/>
      <c r="C11" s="223"/>
      <c r="D11" s="224"/>
      <c r="E11" s="23"/>
      <c r="F11" s="28"/>
      <c r="G11" s="116" t="s">
        <v>14</v>
      </c>
      <c r="H11" s="116"/>
      <c r="I11" s="27"/>
      <c r="J11" s="102" t="s">
        <v>140</v>
      </c>
      <c r="K11" s="31" t="e">
        <f t="array" aca="1" ref="K11" ca="1">SUM(
IF(DataC[Measured Rate 
'[% Measured']]&lt;&gt;"NULL",
IF(DataC[Brand]=ColumnC[[#This Row],[Metric]],
DataC[Measured Rate 
'[% Measured']]*
SUBTOTAL(9,OFFSET(DataC[Total Impressions],ROW(DataC[Total Impressions])-MIN(ROW(DataC[Total Impressions])),0,1)))))
/
SUM(
IF(DataC[Measured Rate 
'[% Measured']]&lt;&gt;"NULL",
IF(DataC[Brand]=ColumnC[[#This Row],[Metric]],
SUBTOTAL(9,OFFSET(DataC[Total Impressions],ROW(DataC[Total Impressions])-MIN(ROW(DataC[Total Impressions])),0,1)))))</f>
        <v>#DIV/0!</v>
      </c>
      <c r="L11" s="32" t="e">
        <f t="array" aca="1" ref="L11" ca="1">SUM(
IF(DataC[See-Through Rate 
'[% Visible']]&lt;&gt;"NULL",
IF(DataC[Brand]=ColumnC[[#This Row],[Metric]],
DataC[See-Through Rate 
'[% Visible']]*
SUBTOTAL(9,OFFSET(DataC[Total Impressions],ROW(DataC[Total Impressions])-MIN(ROW(DataC[Total Impressions])),0,1)))))
/
SUM(
IF(DataC[See-Through Rate 
'[% Visible']]&lt;&gt;"NULL",
IF(DataC[Brand]=ColumnC[[#This Row],[Metric]],
SUBTOTAL(9,OFFSET(DataC[Total Impressions],ROW(DataC[Total Impressions])-MIN(ROW(DataC[Total Impressions])),0,1)))))</f>
        <v>#DIV/0!</v>
      </c>
      <c r="M11" s="32" t="e">
        <f t="array" aca="1" ref="M11" ca="1">SUM(
IF(DataC[Brand Safety 
'[% Passed']]&lt;&gt;"NULL",
IF(DataC[Brand]=ColumnC[[#This Row],[Metric]],
DataC[Brand Safety 
'[% Passed']]*
SUBTOTAL(9,OFFSET(DataC[Total Impressions],ROW(DataC[Total Impressions])-MIN(ROW(DataC[Total Impressions])),0,1)))))
/
SUM(
IF(DataC[Brand Safety 
'[% Passed']]&lt;&gt;"NULL",
IF(DataC[Brand]=ColumnC[[#This Row],[Metric]],
SUBTOTAL(9,OFFSET(DataC[Total Impressions],ROW(DataC[Total Impressions])-MIN(ROW(DataC[Total Impressions])),0,1)))))</f>
        <v>#DIV/0!</v>
      </c>
      <c r="N11" s="32" t="e">
        <f t="array" aca="1" ref="N11" ca="1">SUM(
IF(DataC[Brand Safety 
'[% Failed']]&lt;&gt;"NULL",
IF(DataC[Brand]=ColumnC[[#This Row],[Metric]],
DataC[Brand Safety 
'[% Failed']]*
SUBTOTAL(9,OFFSET(DataC[Total Impressions],ROW(DataC[Total Impressions])-MIN(ROW(DataC[Total Impressions])),0,1)))))
/
SUM(
IF(DataC[Brand Safety 
'[% Failed']]&lt;&gt;"NULL",
IF(DataC[Brand]=ColumnC[[#This Row],[Metric]],
SUBTOTAL(9,OFFSET(DataC[Total Impressions],ROW(DataC[Total Impressions])-MIN(ROW(DataC[Total Impressions])),0,1)))))</f>
        <v>#DIV/0!</v>
      </c>
      <c r="O11" s="32" t="e">
        <f t="array" aca="1" ref="O11" ca="1">SUM(
IF(DataC[Brand Safety 
'[% Failed by Content']]&lt;&gt;"NULL",
IF(DataC[Brand]=ColumnC[[#This Row],[Metric]],
DataC[Brand Safety 
'[% Failed by Content']]*
SUBTOTAL(9,OFFSET(DataC[Total Impressions],ROW(DataC[Total Impressions])-MIN(ROW(DataC[Total Impressions])),0,1)))))
/
SUM(
IF(DataC[Brand Safety 
'[% Failed by Content']]&lt;&gt;"NULL",
IF(DataC[Brand]=ColumnC[[#This Row],[Metric]],
SUBTOTAL(9,OFFSET(DataC[Total Impressions],ROW(DataC[Total Impressions])-MIN(ROW(DataC[Total Impressions])),0,1)))))</f>
        <v>#DIV/0!</v>
      </c>
      <c r="P11" s="32" t="e">
        <f t="array" aca="1" ref="P11" ca="1">SUM(
IF(DataC[Brand Safety 
'[% Failed by Geo']]&lt;&gt;"NULL",
IF(DataC[Brand]=ColumnC[[#This Row],[Metric]],
DataC[Brand Safety 
'[% Failed by Geo']]*
SUBTOTAL(9,OFFSET(DataC[Total Impressions],ROW(DataC[Total Impressions])-MIN(ROW(DataC[Total Impressions])),0,1)))))
/
SUM(
IF(DataC[Brand Safety 
'[% Failed by Geo']]&lt;&gt;"NULL",
IF(DataC[Brand]=ColumnC[[#This Row],[Metric]],
SUBTOTAL(9,OFFSET(DataC[Total Impressions],ROW(DataC[Total Impressions])-MIN(ROW(DataC[Total Impressions])),0,1)))))</f>
        <v>#DIV/0!</v>
      </c>
      <c r="Q11" s="32" t="e">
        <f t="array" aca="1" ref="Q11" ca="1">SUM(
IF(DataC[Brand Safety 
'[% Failed by Keyword']]&lt;&gt;"NULL",
IF(DataC[Brand]=ColumnC[[#This Row],[Metric]],
DataC[Brand Safety 
'[% Failed by Keyword']]*
SUBTOTAL(9,OFFSET(DataC[Total Impressions],ROW(DataC[Total Impressions])-MIN(ROW(DataC[Total Impressions])),0,1)))))
/
SUM(
IF(DataC[Brand Safety 
'[% Failed by Keyword']]&lt;&gt;"NULL",
IF(DataC[Brand]=ColumnC[[#This Row],[Metric]],
SUBTOTAL(9,OFFSET(DataC[Total Impressions],ROW(DataC[Total Impressions])-MIN(ROW(DataC[Total Impressions])),0,1)))))</f>
        <v>#DIV/0!</v>
      </c>
      <c r="R11" s="32" t="e">
        <f t="array" aca="1" ref="R11" ca="1">SUM(
IF(DataC[Brand Safety 
'[% Failed by Blacklist']]&lt;&gt;"NULL",
IF(DataC[Brand]=ColumnC[[#This Row],[Metric]],
DataC[Brand Safety 
'[% Failed by Blacklist']]*
SUBTOTAL(9,OFFSET(DataC[Total Impressions],ROW(DataC[Total Impressions])-MIN(ROW(DataC[Total Impressions])),0,1)))))
/
SUM(
IF(DataC[Brand Safety 
'[% Failed by Blacklist']]&lt;&gt;"NULL",
IF(DataC[Brand]=ColumnC[[#This Row],[Metric]],
SUBTOTAL(9,OFFSET(DataC[Total Impressions],ROW(DataC[Total Impressions])-MIN(ROW(DataC[Total Impressions])),0,1)))))</f>
        <v>#DIV/0!</v>
      </c>
      <c r="S11" s="32" t="e">
        <f t="array" aca="1" ref="S11" ca="1">SUM(
IF(DataC[Brand Safety 
'[% Failed by Language']]&lt;&gt;"NULL",
IF(DataC[Brand]=ColumnC[[#This Row],[Metric]],
DataC[Brand Safety 
'[% Failed by Language']]*
SUBTOTAL(9,OFFSET(DataC[Total Impressions],ROW(DataC[Total Impressions])-MIN(ROW(DataC[Total Impressions])),0,1)))))
/
SUM(
IF(DataC[Brand Safety 
'[% Failed by Language']]&lt;&gt;"NULL",
IF(DataC[Brand]=ColumnC[[#This Row],[Metric]],
SUBTOTAL(9,OFFSET(DataC[Total Impressions],ROW(DataC[Total Impressions])-MIN(ROW(DataC[Total Impressions])),0,1)))))</f>
        <v>#DIV/0!</v>
      </c>
      <c r="T11" s="32" t="e">
        <f t="array" aca="1" ref="T11" ca="1">SUM(
IF(DataC[Fraud 
'[% Fraud']]&lt;&gt;"NULL",
IF(DataC[Brand]=ColumnC[[#This Row],[Metric]],
DataC[Fraud 
'[% Fraud']]*
SUBTOTAL(9,OFFSET(DataC[Total Impressions],ROW(DataC[Total Impressions])-MIN(ROW(DataC[Total Impressions])),0,1)))))
/
SUM(
IF(DataC[Fraud 
'[% Fraud']]&lt;&gt;"NULL",
IF(DataC[Brand]=ColumnC[[#This Row],[Metric]],
SUBTOTAL(9,OFFSET(DataC[Total Impressions],ROW(DataC[Total Impressions])-MIN(ROW(DataC[Total Impressions])),0,1)))))</f>
        <v>#DIV/0!</v>
      </c>
      <c r="U11" s="32" t="e">
        <f t="array" aca="1" ref="U11" ca="1">SUM(
IF(DataC[Viewability 
'[Total Viewable Rate (Total Net Metrics)']]&lt;&gt;"NULL",
IF(DataC[Brand]=ColumnC[[#This Row],[Metric]],
DataC[Viewability 
'[Total Viewable Rate (Total Net Metrics)']]*
SUBTOTAL(9,OFFSET(DataC[Total Impressions],ROW(DataC[Total Impressions])-MIN(ROW(DataC[Total Impressions])),0,1)))))
/
SUM(
IF(DataC[Viewability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V11" s="32" t="e">
        <f t="array" aca="1" ref="V11" ca="1">SUM(
IF(DataC[Display Viewability 
'[Total Viewable Rate (Total Net Metrics)']]&lt;&gt;"NULL",
IF(DataC[Brand]=ColumnC[[#This Row],[Metric]],
DataC[Display Viewability 
'[Total Viewable Rate (Total Net Metrics)']]*
SUBTOTAL(9,OFFSET(DataC[Total Impressions],ROW(DataC[Total Impressions])-MIN(ROW(DataC[Total Impressions])),0,1)))))
/
SUM(
IF(DataC[Display 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W11" s="32" t="e">
        <f t="array" aca="1" ref="W11" ca="1">SUM(
IF(DataC[Video Viewability 
'[Total Viewable Rate (Total Net Metrics)']]&lt;&gt;"NULL",
IF(DataC[Brand]=ColumnC[[#This Row],[Metric]],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X11" s="32" t="e">
        <f t="array" aca="1" ref="X11" ca="1">SUM(
IF(DataC[GroupM Viewability 
'[% Display Ads Fully in View']]&lt;&gt;"NULL",
IF(DataC[Brand]=ColumnC[[#This Row],[Metric]],
DataC[GroupM Viewability 
'[% Display Ads Fully in View']]*
SUBTOTAL(9,OFFSET(DataC[Total Impressions],ROW(DataC[Total Impressions])-MIN(ROW(DataC[Total Impressions])),0,1)))))
/
SUM(
IF(DataC[GroupM Viewability 
'[% Display Ads Fully in View']]&lt;&gt;"NULL",
IF(DataC[Brand]=ColumnC[[#This Row],[Metric]],
SUBTOTAL(9,OFFSET(DataC[Total Impressions],ROW(DataC[Total Impressions])-MIN(ROW(DataC[Total Impressions])),0,1)))))</f>
        <v>#DIV/0!</v>
      </c>
      <c r="Y11" s="32" t="e">
        <f t="array" aca="1" ref="Y11" ca="1">SUM(
IF(DataC[GroupM Viewability 
'[% Videos Fully in View']]&lt;&gt;"NULL",
IF(DataC[Brand]=ColumnC[[#This Row],[Metric]],
DataC[GroupM Viewability 
'[% Videos Fully in View']]*
SUBTOTAL(9,OFFSET(DataC[Total Impressions],ROW(DataC[Total Impressions])-MIN(ROW(DataC[Total Impressions])),0,1)))))
/
SUM(
IF(DataC[GroupM Viewability 
'[% Videos Fully in View']]&lt;&gt;"NULL",
IF(DataC[Brand]=ColumnC[[#This Row],[Metric]],
SUBTOTAL(9,OFFSET(DataC[Total Impressions],ROW(DataC[Total Impressions])-MIN(ROW(DataC[Total Impressions])),0,1)))))</f>
        <v>#DIV/0!</v>
      </c>
      <c r="Z11" s="32" t="e">
        <f t="array" aca="1" ref="Z11" ca="1">SUM(
IF(DataC[Publicis Viewability 
'[% Display Ads Fully in View']]&lt;&gt;"NULL",
IF(DataC[Brand]=ColumnC[[#This Row],[Metric]],
DataC[Publicis Viewability 
'[% Display Ads Fully in View']]*
SUBTOTAL(9,OFFSET(DataC[Total Impressions],ROW(DataC[Total Impressions])-MIN(ROW(DataC[Total Impressions])),0,1)))))
/
SUM(
IF(DataC[Publicis Viewability 
'[% Display Ads Fully in View']]&lt;&gt;"NULL",
IF(DataC[Brand]=ColumnC[[#This Row],[Metric]],
SUBTOTAL(9,OFFSET(DataC[Total Impressions],ROW(DataC[Total Impressions])-MIN(ROW(DataC[Total Impressions])),0,1)))))</f>
        <v>#DIV/0!</v>
      </c>
      <c r="AA11" s="32" t="e">
        <f t="array" aca="1" ref="AA11" ca="1">SUM(
IF(DataC[Publicis Viewability 
'[% Videos Fully in View']]&lt;&gt;"NULL",
IF(DataC[Brand]=ColumnC[[#This Row],[Metric]],
DataC[Publicis Viewability 
'[% Videos Fully in View']]*
SUBTOTAL(9,OFFSET(DataC[Total Impressions],ROW(DataC[Total Impressions])-MIN(ROW(DataC[Total Impressions])),0,1)))))
/
SUM(
IF(DataC[Publicis Viewability 
'[% Videos Fully in View']]&lt;&gt;"NULL",
IF(DataC[Brand]=ColumnC[[#This Row],[Metric]],
SUBTOTAL(9,OFFSET(DataC[Total Impressions],ROW(DataC[Total Impressions])-MIN(ROW(DataC[Total Impressions])),0,1)))))</f>
        <v>#DIV/0!</v>
      </c>
    </row>
    <row r="12" spans="1:121" s="18" customFormat="1" ht="16.5" hidden="1" customHeight="1" x14ac:dyDescent="0.35">
      <c r="A12" s="225"/>
      <c r="B12" s="226"/>
      <c r="C12" s="226"/>
      <c r="D12" s="227"/>
      <c r="E12" s="23"/>
      <c r="F12" s="28"/>
      <c r="G12" s="228" t="s">
        <v>8</v>
      </c>
      <c r="H12" s="228"/>
      <c r="I12" s="27"/>
      <c r="J12" s="103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5.75" hidden="1" customHeight="1" x14ac:dyDescent="0.35">
      <c r="B13" s="33"/>
      <c r="C13" s="33"/>
      <c r="D13" s="34"/>
      <c r="E13" s="23"/>
      <c r="F13" s="28"/>
      <c r="G13" s="228" t="s">
        <v>8</v>
      </c>
      <c r="H13" s="228"/>
      <c r="I13" s="2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</row>
    <row r="14" spans="1:121" s="18" customFormat="1" ht="15.75" customHeight="1" thickBot="1" x14ac:dyDescent="0.4">
      <c r="B14" s="35"/>
      <c r="C14" s="22"/>
      <c r="D14" s="22"/>
      <c r="E14" s="13" t="s">
        <v>21</v>
      </c>
      <c r="F14" s="13" t="s">
        <v>21</v>
      </c>
      <c r="G14" s="13" t="s">
        <v>21</v>
      </c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84" t="s">
        <v>9</v>
      </c>
      <c r="E15" s="85" t="s">
        <v>141</v>
      </c>
      <c r="F15" s="85" t="s">
        <v>22</v>
      </c>
      <c r="G15" s="85" t="s">
        <v>38</v>
      </c>
      <c r="H15" s="25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thickBot="1" x14ac:dyDescent="0.3">
      <c r="B16" s="44" t="s">
        <v>165</v>
      </c>
      <c r="C16" s="45" t="s">
        <v>166</v>
      </c>
      <c r="D16" s="91" t="s">
        <v>10</v>
      </c>
      <c r="E16" s="86" t="s">
        <v>10</v>
      </c>
      <c r="F16" s="86" t="s">
        <v>10</v>
      </c>
      <c r="G16" s="86" t="s">
        <v>124</v>
      </c>
      <c r="H16" s="86">
        <v>13148469</v>
      </c>
      <c r="I16" s="87">
        <v>19828295</v>
      </c>
      <c r="J16" s="88">
        <v>0.68152249431199996</v>
      </c>
      <c r="K16" s="89">
        <v>0.70397369012300004</v>
      </c>
      <c r="L16" s="89">
        <v>0.95292479761899995</v>
      </c>
      <c r="M16" s="89">
        <v>4.7075202381199999E-2</v>
      </c>
      <c r="N16" s="89">
        <v>1.5841805863800001E-2</v>
      </c>
      <c r="O16" s="89">
        <v>4.7008580414999998E-4</v>
      </c>
      <c r="P16" s="89">
        <v>2.1768992240599999E-2</v>
      </c>
      <c r="Q16" s="89">
        <v>1.7364074924200001E-4</v>
      </c>
      <c r="R16" s="89">
        <v>0</v>
      </c>
      <c r="S16" s="89">
        <v>9.2195017271999996E-3</v>
      </c>
      <c r="T16" s="89">
        <v>0.64080593717800005</v>
      </c>
      <c r="U16" s="89">
        <v>0.63650054192100003</v>
      </c>
      <c r="V16" s="89">
        <v>0.85731169793700002</v>
      </c>
      <c r="W16" s="89">
        <v>0</v>
      </c>
      <c r="X16" s="89">
        <v>0</v>
      </c>
      <c r="Y16" s="89">
        <v>0</v>
      </c>
      <c r="Z16" s="89">
        <v>0</v>
      </c>
      <c r="AA16" s="89">
        <v>0</v>
      </c>
    </row>
    <row r="17" spans="80:121" ht="15" customHeight="1" x14ac:dyDescent="0.25">
      <c r="CB17" s="10"/>
      <c r="DP17" s="15"/>
      <c r="DQ17" s="10"/>
    </row>
    <row r="18" spans="80:121" ht="15" customHeight="1" x14ac:dyDescent="0.25">
      <c r="CB18" s="10"/>
      <c r="DP18" s="15"/>
      <c r="DQ18" s="10"/>
    </row>
    <row r="19" spans="80:121" ht="15" customHeight="1" x14ac:dyDescent="0.25">
      <c r="CB19" s="10"/>
      <c r="DP19" s="15"/>
      <c r="DQ19" s="10"/>
    </row>
    <row r="20" spans="80:121" ht="15" customHeight="1" x14ac:dyDescent="0.25">
      <c r="CB20" s="10"/>
      <c r="DP20" s="15"/>
      <c r="DQ20" s="10"/>
    </row>
    <row r="21" spans="80:121" ht="15" customHeight="1" x14ac:dyDescent="0.25">
      <c r="CB21" s="10"/>
      <c r="DP21" s="15"/>
      <c r="DQ21" s="10"/>
    </row>
    <row r="22" spans="80:121" ht="15" customHeight="1" x14ac:dyDescent="0.25">
      <c r="CB22" s="10"/>
      <c r="DP22" s="15"/>
      <c r="DQ22" s="10"/>
    </row>
    <row r="23" spans="80:121" ht="15" customHeight="1" x14ac:dyDescent="0.25">
      <c r="CB23" s="10"/>
      <c r="DP23" s="15"/>
      <c r="DQ23" s="10"/>
    </row>
    <row r="24" spans="80:121" ht="15" customHeight="1" x14ac:dyDescent="0.25">
      <c r="CB24" s="10"/>
      <c r="DP24" s="15"/>
      <c r="DQ24" s="10"/>
    </row>
    <row r="25" spans="80:121" ht="15" customHeight="1" x14ac:dyDescent="0.25">
      <c r="CB25" s="10"/>
      <c r="DP25" s="15"/>
      <c r="DQ25" s="10"/>
    </row>
    <row r="26" spans="80:121" ht="15" customHeight="1" x14ac:dyDescent="0.25">
      <c r="CB26" s="10"/>
      <c r="DP26" s="15"/>
      <c r="DQ26" s="10"/>
    </row>
    <row r="27" spans="80:121" ht="15" customHeight="1" x14ac:dyDescent="0.25">
      <c r="CB27" s="10"/>
      <c r="DP27" s="15"/>
      <c r="DQ27" s="10"/>
    </row>
    <row r="28" spans="80:121" ht="15" customHeight="1" x14ac:dyDescent="0.25">
      <c r="CB28" s="10"/>
      <c r="DP28" s="15"/>
      <c r="DQ28" s="10"/>
    </row>
    <row r="29" spans="80:121" ht="15" customHeight="1" x14ac:dyDescent="0.25">
      <c r="CB29" s="10"/>
      <c r="DP29" s="15"/>
      <c r="DQ29" s="10"/>
    </row>
    <row r="30" spans="80:121" ht="15" customHeight="1" x14ac:dyDescent="0.25">
      <c r="CB30" s="10"/>
      <c r="DP30" s="15"/>
      <c r="DQ30" s="10"/>
    </row>
  </sheetData>
  <sheetProtection formatCells="0" insertColumns="0" insertRows="0" insertHyperlinks="0" deleteColumns="0" deleteRows="0" selectLockedCells="1" sort="0" autoFilter="0" pivotTables="0"/>
  <mergeCells count="9">
    <mergeCell ref="G6:H6"/>
    <mergeCell ref="A11:D11"/>
    <mergeCell ref="A10:D10"/>
    <mergeCell ref="G12:H12"/>
    <mergeCell ref="G13:H13"/>
    <mergeCell ref="G7:H7"/>
    <mergeCell ref="G8:H8"/>
    <mergeCell ref="A12:D12"/>
    <mergeCell ref="B9:D9"/>
  </mergeCells>
  <conditionalFormatting sqref="K16:AA16">
    <cfRule type="cellIs" dxfId="53" priority="24" operator="equal">
      <formula>""</formula>
    </cfRule>
  </conditionalFormatting>
  <conditionalFormatting sqref="A1:XFD5 A6:F9 I6:XFD6 I8:XFD9 I7:J7 AB7:XFD7 A10:XFD1048576">
    <cfRule type="expression" dxfId="52" priority="21">
      <formula>ISERROR(A1)</formula>
    </cfRule>
  </conditionalFormatting>
  <conditionalFormatting sqref="K16:AA16 K9:AA11">
    <cfRule type="expression" dxfId="51" priority="55">
      <formula>IF(K$7="N/A",0,IF(K$7="Above",K9&lt;=(1-$J$4)*K$8,K9&gt;=(1+$J$4)*K$8))</formula>
    </cfRule>
    <cfRule type="expression" dxfId="50" priority="56">
      <formula>IF(OR(K$7="N/A",K9=0),0,IF(K$7="Above",K9&gt;=(1+$J$3)*K$8,K9&lt;=(1-$J$3)*K$8))</formula>
    </cfRule>
  </conditionalFormatting>
  <conditionalFormatting sqref="G6:H8 G9">
    <cfRule type="expression" dxfId="49" priority="3">
      <formula>ISERROR(G6)</formula>
    </cfRule>
  </conditionalFormatting>
  <conditionalFormatting sqref="H9">
    <cfRule type="expression" dxfId="48" priority="2">
      <formula>ISERROR(H9)</formula>
    </cfRule>
  </conditionalFormatting>
  <conditionalFormatting sqref="K7:AA7">
    <cfRule type="expression" dxfId="47" priority="1">
      <formula>ISERROR(K7)</formula>
    </cfRule>
  </conditionalFormatting>
  <dataValidations disablePrompts="1" count="7">
    <dataValidation allowBlank="1" showInputMessage="1" showErrorMessage="1" prompt="Cell will highlight red if performance deviates by more than this percentage of the client goal." sqref="J4" xr:uid="{00000000-0002-0000-0100-000000000000}"/>
    <dataValidation allowBlank="1" showInputMessage="1" showErrorMessage="1" prompt="Cell will highlight yellow if performance deviates by more than this percentage of the client goal." sqref="J3" xr:uid="{00000000-0002-0000-0100-000001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100-000002000000}">
      <formula1>BMRK_List</formula1>
    </dataValidation>
    <dataValidation allowBlank="1" showInputMessage="1" showErrorMessage="1" errorTitle="Invalid Entry" error="Please select/enter a value from 1 to 5 from the dropdown." sqref="K10:AA11 J11 A13:D13 J9 AB12:XFD13 G9:G11 H9" xr:uid="{00000000-0002-0000-0100-000004000000}"/>
    <dataValidation type="list" allowBlank="1" showInputMessage="1" showErrorMessage="1" errorTitle="Invalid Entry" error="Please select/enter a value from 1 to 5 from the dropdown." sqref="K13:AA13" xr:uid="{00000000-0002-0000-01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100-000006000000}">
      <formula1>DeviceDropdown</formula1>
    </dataValidation>
    <dataValidation type="list" allowBlank="1" showInputMessage="1" showErrorMessage="1" sqref="B15" xr:uid="{00000000-0002-0000-0100-000007000000}">
      <formula1>"Brand, Region (Team), Region (Campaign)"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6DC81B86-E415-4086-8C80-6F1077C5E633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Q22"/>
  <sheetViews>
    <sheetView showGridLines="0" tabSelected="1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E18" sqref="B17:AA30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55.7265625" style="50" hidden="1" customWidth="1"/>
    <col min="5" max="5" width="60.7265625" style="50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5" width="17" style="14" customWidth="1"/>
    <col min="76" max="77" width="17.1796875" style="14" customWidth="1"/>
    <col min="78" max="98" width="17.1796875" style="10" customWidth="1"/>
    <col min="99" max="102" width="12.26953125" style="10" customWidth="1"/>
    <col min="103" max="110" width="12.453125" style="10" customWidth="1"/>
    <col min="111" max="120" width="8.81640625" style="10" customWidth="1"/>
    <col min="121" max="121" width="8.816406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3" t="s">
        <v>21</v>
      </c>
      <c r="D1" s="13" t="s">
        <v>21</v>
      </c>
      <c r="E1" s="11"/>
      <c r="F1" s="13" t="s">
        <v>21</v>
      </c>
      <c r="G1" s="13"/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</row>
    <row r="2" spans="1:121" ht="15.75" customHeight="1" thickBot="1" x14ac:dyDescent="0.3">
      <c r="B2" s="11"/>
      <c r="C2" s="16"/>
      <c r="D2" s="16"/>
      <c r="E2" s="11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</row>
    <row r="3" spans="1:121" ht="15" customHeight="1" x14ac:dyDescent="0.25">
      <c r="B3" s="11"/>
      <c r="C3" s="16"/>
      <c r="D3" s="16"/>
      <c r="E3" s="11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</row>
    <row r="4" spans="1:121" ht="15" customHeight="1" thickBot="1" x14ac:dyDescent="0.3">
      <c r="B4" s="11"/>
      <c r="C4" s="16"/>
      <c r="D4" s="16"/>
      <c r="E4" s="11"/>
      <c r="F4" s="16"/>
      <c r="G4" s="16"/>
      <c r="H4" s="11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</row>
    <row r="5" spans="1:121" ht="15.75" customHeight="1" thickBot="1" x14ac:dyDescent="0.3">
      <c r="B5" s="11"/>
      <c r="C5" s="16"/>
      <c r="D5" s="16"/>
      <c r="E5" s="11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</row>
    <row r="6" spans="1:121" s="18" customFormat="1" ht="42" customHeight="1" thickBot="1" x14ac:dyDescent="0.4">
      <c r="A6" s="22"/>
      <c r="B6" s="77" t="s">
        <v>155</v>
      </c>
      <c r="C6" s="77"/>
      <c r="D6" s="70" t="s">
        <v>155</v>
      </c>
      <c r="E6" s="80" t="s">
        <v>155</v>
      </c>
      <c r="F6" s="74"/>
      <c r="G6" s="220" t="s">
        <v>133</v>
      </c>
      <c r="H6" s="221"/>
      <c r="I6" s="90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CX6" s="26"/>
    </row>
    <row r="7" spans="1:121" s="18" customFormat="1" ht="15" hidden="1" customHeight="1" thickBot="1" x14ac:dyDescent="0.4">
      <c r="A7" s="27"/>
      <c r="B7" s="28"/>
      <c r="C7" s="28"/>
      <c r="D7" s="28"/>
      <c r="E7" s="82"/>
      <c r="F7" s="74"/>
      <c r="G7" s="229" t="s">
        <v>132</v>
      </c>
      <c r="H7" s="230"/>
      <c r="I7" s="109"/>
      <c r="J7" s="12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CX7" s="26"/>
    </row>
    <row r="8" spans="1:121" s="18" customFormat="1" ht="15.75" customHeight="1" x14ac:dyDescent="0.35">
      <c r="A8" s="22"/>
      <c r="B8" s="70"/>
      <c r="C8" s="70"/>
      <c r="D8" s="70"/>
      <c r="E8" s="81" t="str">
        <f ca="1">MID(CELL("filename",A1),FIND("]",CELL("filename",A1))+1,255)&amp;" Level Scorecard"</f>
        <v>Partner Level Scorecard</v>
      </c>
      <c r="F8" s="74"/>
      <c r="G8" s="231" t="s">
        <v>132</v>
      </c>
      <c r="H8" s="232"/>
      <c r="I8" s="129"/>
      <c r="J8" s="127" t="s">
        <v>16</v>
      </c>
      <c r="K8" s="128">
        <f>VLOOKUP(K6,Benchmark_Legend[],MATCH(ColumnP[[#This Row],[Metric]],Benchmark_Legend[#Headers],0),0)</f>
        <v>0.7</v>
      </c>
      <c r="L8" s="128">
        <f>VLOOKUP(L6,Benchmark_Legend[],MATCH(ColumnP[[#This Row],[Metric]],Benchmark_Legend[#Headers],0),0)</f>
        <v>0.98</v>
      </c>
      <c r="M8" s="128">
        <f>VLOOKUP(M6,Benchmark_Legend[],MATCH(ColumnP[[#This Row],[Metric]],Benchmark_Legend[#Headers],0),0)</f>
        <v>0.95</v>
      </c>
      <c r="N8" s="128">
        <f>VLOOKUP(N6,Benchmark_Legend[],MATCH(ColumnP[[#This Row],[Metric]],Benchmark_Legend[#Headers],0),0)</f>
        <v>0.05</v>
      </c>
      <c r="O8" s="128">
        <f>VLOOKUP(O6,Benchmark_Legend[],MATCH(ColumnP[[#This Row],[Metric]],Benchmark_Legend[#Headers],0),0)</f>
        <v>0.02</v>
      </c>
      <c r="P8" s="128">
        <f>VLOOKUP(P6,Benchmark_Legend[],MATCH(ColumnP[[#This Row],[Metric]],Benchmark_Legend[#Headers],0),0)</f>
        <v>0.02</v>
      </c>
      <c r="Q8" s="128">
        <f>VLOOKUP(Q6,Benchmark_Legend[],MATCH(ColumnP[[#This Row],[Metric]],Benchmark_Legend[#Headers],0),0)</f>
        <v>0.01</v>
      </c>
      <c r="R8" s="128">
        <f>VLOOKUP(R6,Benchmark_Legend[],MATCH(ColumnP[[#This Row],[Metric]],Benchmark_Legend[#Headers],0),0)</f>
        <v>0.01</v>
      </c>
      <c r="S8" s="128">
        <f>VLOOKUP(S6,Benchmark_Legend[],MATCH(ColumnP[[#This Row],[Metric]],Benchmark_Legend[#Headers],0),0)</f>
        <v>0.01</v>
      </c>
      <c r="T8" s="128">
        <f>VLOOKUP(T6,Benchmark_Legend[],MATCH(ColumnP[[#This Row],[Metric]],Benchmark_Legend[#Headers],0),0)</f>
        <v>0.03</v>
      </c>
      <c r="U8" s="128">
        <f>VLOOKUP(U6,Benchmark_Legend[],MATCH(ColumnP[[#This Row],[Metric]],Benchmark_Legend[#Headers],0),0)</f>
        <v>0.55000000000000004</v>
      </c>
      <c r="V8" s="128">
        <f>VLOOKUP(V6,Benchmark_Legend[],MATCH(ColumnP[[#This Row],[Metric]],Benchmark_Legend[#Headers],0),0)</f>
        <v>0.6</v>
      </c>
      <c r="W8" s="128">
        <f>VLOOKUP(W6,Benchmark_Legend[],MATCH(ColumnP[[#This Row],[Metric]],Benchmark_Legend[#Headers],0),0)</f>
        <v>0.5</v>
      </c>
      <c r="X8" s="128">
        <f>VLOOKUP(X6,Benchmark_Legend[],MATCH(ColumnP[[#This Row],[Metric]],Benchmark_Legend[#Headers],0),0)</f>
        <v>0.35</v>
      </c>
      <c r="Y8" s="128">
        <f>VLOOKUP(Y6,Benchmark_Legend[],MATCH(ColumnP[[#This Row],[Metric]],Benchmark_Legend[#Headers],0),0)</f>
        <v>0.25</v>
      </c>
      <c r="Z8" s="128">
        <f>VLOOKUP(Z6,Benchmark_Legend[],MATCH(ColumnP[[#This Row],[Metric]],Benchmark_Legend[#Headers],0),0)</f>
        <v>0.35</v>
      </c>
      <c r="AA8" s="128">
        <f>VLOOKUP(AA6,Benchmark_Legend[],MATCH(ColumnP[[#This Row],[Metric]],Benchmark_Legend[#Headers],0),0)</f>
        <v>0.25</v>
      </c>
      <c r="CX8" s="26"/>
    </row>
    <row r="9" spans="1:121" s="18" customFormat="1" ht="15.75" customHeight="1" thickBot="1" x14ac:dyDescent="0.4">
      <c r="A9" s="22"/>
      <c r="B9" s="233" t="s">
        <v>154</v>
      </c>
      <c r="C9" s="233"/>
      <c r="D9" s="233"/>
      <c r="E9" s="233"/>
      <c r="F9" s="57"/>
      <c r="G9" s="118" t="s">
        <v>14</v>
      </c>
      <c r="H9" s="122" t="s">
        <v>14</v>
      </c>
      <c r="I9" s="110"/>
      <c r="J9" s="111" t="s">
        <v>130</v>
      </c>
      <c r="K9" s="114">
        <f t="array" aca="1" ref="K9" ca="1">SUM(
IF((DataP[Measured Rate 
'[% Measured']]&lt;&gt;"NULL"),
DataP[Measured Rate 
'[% Measured']]*
SUBTOTAL(9,OFFSET(DataP[Total Impressions],ROW(DataP[Total Impressions])-MIN(ROW(DataP[Total Impressions])),0,1))))
/
SUM(
IF((DataP[Measured Rate 
'[% Measured']]&lt;&gt;"NULL"),
SUBTOTAL(9,OFFSET(DataP[Total Impressions],ROW(DataP[Total Impressions])-MIN(ROW(DataP[Total Impressions])),0,1))))</f>
        <v>0.70397369012300004</v>
      </c>
      <c r="L9" s="114">
        <f t="array" aca="1" ref="L9" ca="1">SUM(
IF((DataP[See-Through Rate 
'[% Visible']]&lt;&gt;"NULL"),
DataP[See-Through Rate 
'[% Visible']]*
SUBTOTAL(9,OFFSET(DataP[Total Impressions],ROW(DataP[Total Impressions])-MIN(ROW(DataP[Total Impressions])),0,1))))
/
SUM(
IF((DataP[See-Through Rate 
'[% Visible']]&lt;&gt;"NULL"),
SUBTOTAL(9,OFFSET(DataP[Total Impressions],ROW(DataP[Total Impressions])-MIN(ROW(DataP[Total Impressions])),0,1))))</f>
        <v>0.95292479761900006</v>
      </c>
      <c r="M9" s="114">
        <f t="array" aca="1" ref="M9" ca="1">SUM(
IF((DataP[Brand Safety 
'[% Passed']]&lt;&gt;"NULL"),
DataP[Brand Safety 
'[% Passed']]*
SUBTOTAL(9,OFFSET(DataP[Total Impressions],ROW(DataP[Total Impressions])-MIN(ROW(DataP[Total Impressions])),0,1))))
/
SUM(
IF((DataP[Brand Safety 
'[% Passed']]&lt;&gt;"NULL"),
SUBTOTAL(9,OFFSET(DataP[Total Impressions],ROW(DataP[Total Impressions])-MIN(ROW(DataP[Total Impressions])),0,1))))</f>
        <v>4.7075202381199992E-2</v>
      </c>
      <c r="N9" s="114">
        <f t="array" aca="1" ref="N9" ca="1">SUM(
IF((DataP[Brand Safety 
'[% Failed']]&lt;&gt;"NULL"),
DataP[Brand Safety 
'[% Failed']]*
SUBTOTAL(9,OFFSET(DataP[Total Impressions],ROW(DataP[Total Impressions])-MIN(ROW(DataP[Total Impressions])),0,1))))
/
SUM(
IF((DataP[Brand Safety 
'[% Failed']]&lt;&gt;"NULL"),
SUBTOTAL(9,OFFSET(DataP[Total Impressions],ROW(DataP[Total Impressions])-MIN(ROW(DataP[Total Impressions])),0,1))))</f>
        <v>1.5841805863800001E-2</v>
      </c>
      <c r="O9" s="114">
        <f t="array" aca="1" ref="O9" ca="1">SUM(
IF((DataP[Brand Safety 
'[% Failed by Content']]&lt;&gt;"NULL"),
DataP[Brand Safety 
'[% Failed by Content']]*
SUBTOTAL(9,OFFSET(DataP[Total Impressions],ROW(DataP[Total Impressions])-MIN(ROW(DataP[Total Impressions])),0,1))))
/
SUM(
IF((DataP[Brand Safety 
'[% Failed by Content']]&lt;&gt;"NULL"),
SUBTOTAL(9,OFFSET(DataP[Total Impressions],ROW(DataP[Total Impressions])-MIN(ROW(DataP[Total Impressions])),0,1))))</f>
        <v>4.7008580414999992E-4</v>
      </c>
      <c r="P9" s="114">
        <f t="array" aca="1" ref="P9" ca="1">SUM(
IF((DataP[Brand Safety 
'[% Failed by Geo']]&lt;&gt;"NULL"),
DataP[Brand Safety 
'[% Failed by Geo']]*
SUBTOTAL(9,OFFSET(DataP[Total Impressions],ROW(DataP[Total Impressions])-MIN(ROW(DataP[Total Impressions])),0,1))))
/
SUM(
IF((DataP[Brand Safety 
'[% Failed by Geo']]&lt;&gt;"NULL"),
SUBTOTAL(9,OFFSET(DataP[Total Impressions],ROW(DataP[Total Impressions])-MIN(ROW(DataP[Total Impressions])),0,1))))</f>
        <v>2.1768992240599999E-2</v>
      </c>
      <c r="Q9" s="114">
        <f t="array" aca="1" ref="Q9" ca="1">SUM(
IF((DataP[Brand Safety 
'[% Failed by Keyword']]&lt;&gt;"NULL"),
DataP[Brand Safety 
'[% Failed by Keyword']]*
SUBTOTAL(9,OFFSET(DataP[Total Impressions],ROW(DataP[Total Impressions])-MIN(ROW(DataP[Total Impressions])),0,1))))
/
SUM(
IF((DataP[Brand Safety 
'[% Failed by Keyword']]&lt;&gt;"NULL"),
SUBTOTAL(9,OFFSET(DataP[Total Impressions],ROW(DataP[Total Impressions])-MIN(ROW(DataP[Total Impressions])),0,1))))</f>
        <v>1.7364074924200001E-4</v>
      </c>
      <c r="R9" s="114">
        <f t="array" aca="1" ref="R9" ca="1">SUM(
IF((DataP[Brand Safety 
'[% Failed by Blacklist']]&lt;&gt;"NULL"),
DataP[Brand Safety 
'[% Failed by Blacklist']]*
SUBTOTAL(9,OFFSET(DataP[Total Impressions],ROW(DataP[Total Impressions])-MIN(ROW(DataP[Total Impressions])),0,1))))
/
SUM(
IF((DataP[Brand Safety 
'[% Failed by Blacklist']]&lt;&gt;"NULL"),
SUBTOTAL(9,OFFSET(DataP[Total Impressions],ROW(DataP[Total Impressions])-MIN(ROW(DataP[Total Impressions])),0,1))))</f>
        <v>0</v>
      </c>
      <c r="S9" s="114">
        <f t="array" aca="1" ref="S9" ca="1">SUM(
IF((DataP[Brand Safety 
'[% Failed by Language']]&lt;&gt;"NULL"),
DataP[Brand Safety 
'[% Failed by Language']]*
SUBTOTAL(9,OFFSET(DataP[Total Impressions],ROW(DataP[Total Impressions])-MIN(ROW(DataP[Total Impressions])),0,1))))
/
SUM(
IF((DataP[Brand Safety 
'[% Failed by Language']]&lt;&gt;"NULL"),
SUBTOTAL(9,OFFSET(DataP[Total Impressions],ROW(DataP[Total Impressions])-MIN(ROW(DataP[Total Impressions])),0,1))))</f>
        <v>9.2195017271999996E-3</v>
      </c>
      <c r="T9" s="114">
        <f t="array" aca="1" ref="T9" ca="1">SUM(
IF((DataP[Fraud 
'[% Fraud']]&lt;&gt;"NULL"),
DataP[Fraud 
'[% Fraud']]*
SUBTOTAL(9,OFFSET(DataP[Total Impressions],ROW(DataP[Total Impressions])-MIN(ROW(DataP[Total Impressions])),0,1))))
/
SUM(
IF((DataP[Fraud 
'[% Fraud']]&lt;&gt;"NULL"),
SUBTOTAL(9,OFFSET(DataP[Total Impressions],ROW(DataP[Total Impressions])-MIN(ROW(DataP[Total Impressions])),0,1))))</f>
        <v>0.64080593717800005</v>
      </c>
      <c r="U9" s="114">
        <f t="array" aca="1" ref="U9" ca="1">SUM(
IF((DataP[Viewability 
'[Total Viewable Rate (Total Net Metrics)']]&lt;&gt;"NULL"),
DataP[Viewability 
'[Total Viewable Rate (Total Net Metrics)']]*SUBTOTAL(9,OFFSET(DataP[Measured Impressions],ROW(DataP[Measured Impressions])-MIN(ROW(DataP[Measured Impressions])),0,1))))
/
SUM(
IF((DataP[Viewability 
'[Total Viewable Rate (Total Net Metrics)']]&lt;&gt;"NULL"),
SUBTOTAL(9,OFFSET(DataP[Measured Impressions],ROW(DataP[Measured Impressions])-MIN(ROW(DataP[Measured Impressions])),0,1))))</f>
        <v>0.63650054192100003</v>
      </c>
      <c r="V9" s="114">
        <f t="array" aca="1" ref="V9" ca="1">SUM(
IF((DataP[Display Viewability 
'[Total Viewable Rate (Total Net Metrics)']]&lt;&gt;"NULL"),
DataP[Display Viewability 
'[Total Viewable Rate (Total Net Metrics)']]*SUBTOTAL(9,OFFSET(DataP[Measured Impressions],ROW(DataP[Measured Impressions])-MIN(ROW(DataP[Measured Impressions])),0,1))))
/
SUM(
IF((DataP[Display Viewability 
'[Total Viewable Rate (Total Net Metrics)']]&lt;&gt;"NULL"),
SUBTOTAL(9,OFFSET(DataP[Measured Impressions],ROW(DataP[Measured Impressions])-MIN(ROW(DataP[Measured Impressions])),0,1))))</f>
        <v>0.85731169793700013</v>
      </c>
      <c r="W9" s="114">
        <f t="array" aca="1" ref="W9" ca="1">SUM(
IF((DataP[Video Viewability 
'[Total Viewable Rate (Total Net Metrics)']]&lt;&gt;"NULL"),
DataP[Video Viewability 
'[Total Viewable Rate (Total Net Metrics)']]*SUBTOTAL(9,OFFSET(DataP[Measured Impressions],ROW(DataP[Measured Impressions])-MIN(ROW(DataP[Measured Impressions])),0,1))))
/
SUM(
IF((DataP[Video Viewability 
'[Total Viewable Rate (Total Net Metrics)']]&lt;&gt;"NULL"),
SUBTOTAL(9,OFFSET(DataP[Measured Impressions],ROW(DataP[Measured Impressions])-MIN(ROW(DataP[Measured Impressions])),0,1))))</f>
        <v>0</v>
      </c>
      <c r="X9" s="114">
        <f t="array" aca="1" ref="X9" ca="1">SUM(
IF((DataP[GroupM Viewability 
'[% Display Ads Fully in View']]&lt;&gt;"NULL"),
DataP[GroupM Viewability 
'[% Display Ads Fully in View']]*SUBTOTAL(9,OFFSET(DataP[Measured Impressions],ROW(DataP[Measured Impressions])-MIN(ROW(DataP[Measured Impressions])),0,1))))
/
SUM(
IF((DataP[GroupM Viewability 
'[% Display Ads Fully in View']]&lt;&gt;"NULL"),
SUBTOTAL(9,OFFSET(DataP[Measured Impressions],ROW(DataP[Measured Impressions])-MIN(ROW(DataP[Measured Impressions])),0,1))))</f>
        <v>0</v>
      </c>
      <c r="Y9" s="114">
        <f t="array" aca="1" ref="Y9" ca="1">SUM(
IF((DataP[GroupM Viewability 
'[% Videos Fully in View']]&lt;&gt;"NULL"),
DataP[GroupM Viewability 
'[% Videos Fully in View']]*SUBTOTAL(9,OFFSET(DataP[Measured Impressions],ROW(DataP[Measured Impressions])-MIN(ROW(DataP[Measured Impressions])),0,1))))
/
SUM(
IF((DataP[GroupM Viewability 
'[% Videos Fully in View']]&lt;&gt;"NULL"),
SUBTOTAL(9,OFFSET(DataP[Measured Impressions],ROW(DataP[Measured Impressions])-MIN(ROW(DataP[Measured Impressions])),0,1))))</f>
        <v>0</v>
      </c>
      <c r="Z9" s="114">
        <f t="array" aca="1" ref="Z9" ca="1">SUM(
IF((DataP[Publicis Viewability 
'[% Display Ads Fully in View']]&lt;&gt;"NULL"),
DataP[Publicis Viewability 
'[% Display Ads Fully in View']]*SUBTOTAL(9,OFFSET(DataP[Measured Impressions],ROW(DataP[Measured Impressions])-MIN(ROW(DataP[Measured Impressions])),0,1))))
/
SUM(
IF((DataP[Publicis Viewability 
'[% Display Ads Fully in View']]&lt;&gt;"NULL"),
SUBTOTAL(9,OFFSET(DataP[Measured Impressions],ROW(DataP[Measured Impressions])-MIN(ROW(DataP[Measured Impressions])),0,1))))</f>
        <v>0</v>
      </c>
      <c r="AA9" s="114">
        <f t="array" aca="1" ref="AA9" ca="1">SUM(
IF((DataP[Publicis Viewability 
'[% Videos Fully in View']]&lt;&gt;"NULL"),
DataP[Publicis Viewability 
'[% Videos Fully in View']]*SUBTOTAL(9,OFFSET(DataP[Measured Impressions],ROW(DataP[Measured Impressions])-MIN(ROW(DataP[Measured Impressions])),0,1))))
/
SUM(
IF((DataP[Publicis Viewability 
'[% Videos Fully in View']]&lt;&gt;"NULL"),
SUBTOTAL(9,OFFSET(DataP[Measured Impressions],ROW(DataP[Measured Impressions])-MIN(ROW(DataP[Measured Impressions])),0,1))))</f>
        <v>0.25</v>
      </c>
      <c r="CX9" s="26"/>
    </row>
    <row r="10" spans="1:121" s="18" customFormat="1" ht="15.65" hidden="1" customHeight="1" x14ac:dyDescent="0.35">
      <c r="A10" s="27"/>
      <c r="B10" s="28"/>
      <c r="C10" s="28"/>
      <c r="D10" s="28"/>
      <c r="E10" s="60"/>
      <c r="F10" s="57"/>
      <c r="G10" s="116" t="s">
        <v>14</v>
      </c>
      <c r="H10" s="116"/>
      <c r="I10" s="27"/>
      <c r="J10" s="102" t="s">
        <v>126</v>
      </c>
      <c r="K10" s="31" t="e">
        <f t="array" aca="1" ref="K10" ca="1">SUM(
IF(DataP[Measured Rate 
'[% Measured']]&lt;&gt;"NULL",
IF(DataP[Device Type]=ColumnP[[#This Row],[Metric]],
DataP[Measured Rate 
'[% Measured']]*
SUBTOTAL(9,OFFSET(DataP[Total Impressions],ROW(DataP[Total Impressions])-MIN(ROW(DataP[Total Impressions])),0,1)))))
/
SUM(
IF(DataP[Measured Rate 
'[% Measured']]&lt;&gt;"NULL",
IF(DataP[Device Type]=ColumnP[[#This Row],[Metric]],
SUBTOTAL(9,OFFSET(DataP[Total Impressions],ROW(DataP[Total Impressions])-MIN(ROW(DataP[Total Impressions])),0,1)))))</f>
        <v>#DIV/0!</v>
      </c>
      <c r="L10" s="32" t="e">
        <f t="array" aca="1" ref="L10" ca="1">SUM(
IF(DataP[See-Through Rate 
'[% Visible']]&lt;&gt;"NULL",
IF(DataP[Device Type]=ColumnP[[#This Row],[Metric]],
DataP[See-Through Rate 
'[% Visible']]*
SUBTOTAL(9,OFFSET(DataP[Total Impressions],ROW(DataP[Total Impressions])-MIN(ROW(DataP[Total Impressions])),0,1)))))
/
SUM(
IF(DataP[See-Through Rate 
'[% Visible']]&lt;&gt;"NULL",
IF(DataP[Device Type]=ColumnP[[#This Row],[Metric]],
SUBTOTAL(9,OFFSET(DataP[Total Impressions],ROW(DataP[Total Impressions])-MIN(ROW(DataP[Total Impressions])),0,1)))))</f>
        <v>#DIV/0!</v>
      </c>
      <c r="M10" s="32" t="e">
        <f t="array" aca="1" ref="M10" ca="1">SUM(
IF(DataP[Brand Safety 
'[% Passed']]&lt;&gt;"NULL",
IF(DataP[Device Type]=ColumnP[[#This Row],[Metric]],
DataP[Brand Safety 
'[% Passed']]*
SUBTOTAL(9,OFFSET(DataP[Total Impressions],ROW(DataP[Total Impressions])-MIN(ROW(DataP[Total Impressions])),0,1)))))
/
SUM(
IF(DataP[Brand Safety 
'[% Passed']]&lt;&gt;"NULL",
IF(DataP[Device Type]=ColumnP[[#This Row],[Metric]],
SUBTOTAL(9,OFFSET(DataP[Total Impressions],ROW(DataP[Total Impressions])-MIN(ROW(DataP[Total Impressions])),0,1)))))</f>
        <v>#DIV/0!</v>
      </c>
      <c r="N10" s="32" t="e">
        <f t="array" aca="1" ref="N10" ca="1">SUM(
IF(DataP[Brand Safety 
'[% Failed']]&lt;&gt;"NULL",
IF(DataP[Device Type]=ColumnP[[#This Row],[Metric]],
DataP[Brand Safety 
'[% Failed']]*
SUBTOTAL(9,OFFSET(DataP[Total Impressions],ROW(DataP[Total Impressions])-MIN(ROW(DataP[Total Impressions])),0,1)))))
/
SUM(
IF(DataP[Brand Safety 
'[% Failed']]&lt;&gt;"NULL",
IF(DataP[Device Type]=ColumnP[[#This Row],[Metric]],
SUBTOTAL(9,OFFSET(DataP[Total Impressions],ROW(DataP[Total Impressions])-MIN(ROW(DataP[Total Impressions])),0,1)))))</f>
        <v>#DIV/0!</v>
      </c>
      <c r="O10" s="32" t="e">
        <f t="array" aca="1" ref="O10" ca="1">SUM(
IF(DataP[Brand Safety 
'[% Failed by Content']]&lt;&gt;"NULL",
IF(DataP[Device Type]=ColumnP[[#This Row],[Metric]],
DataP[Brand Safety 
'[% Failed by Content']]*
SUBTOTAL(9,OFFSET(DataP[Total Impressions],ROW(DataP[Total Impressions])-MIN(ROW(DataP[Total Impressions])),0,1)))))
/
SUM(
IF(DataP[Brand Safety 
'[% Failed by Content']]&lt;&gt;"NULL",
IF(DataP[Device Type]=ColumnP[[#This Row],[Metric]],
SUBTOTAL(9,OFFSET(DataP[Total Impressions],ROW(DataP[Total Impressions])-MIN(ROW(DataP[Total Impressions])),0,1)))))</f>
        <v>#DIV/0!</v>
      </c>
      <c r="P10" s="32" t="e">
        <f t="array" aca="1" ref="P10" ca="1">SUM(
IF(DataP[Brand Safety 
'[% Failed by Geo']]&lt;&gt;"NULL",
IF(DataP[Device Type]=ColumnP[[#This Row],[Metric]],
DataP[Brand Safety 
'[% Failed by Geo']]*
SUBTOTAL(9,OFFSET(DataP[Total Impressions],ROW(DataP[Total Impressions])-MIN(ROW(DataP[Total Impressions])),0,1)))))
/
SUM(
IF(DataP[Brand Safety 
'[% Failed by Geo']]&lt;&gt;"NULL",
IF(DataP[Device Type]=ColumnP[[#This Row],[Metric]],
SUBTOTAL(9,OFFSET(DataP[Total Impressions],ROW(DataP[Total Impressions])-MIN(ROW(DataP[Total Impressions])),0,1)))))</f>
        <v>#DIV/0!</v>
      </c>
      <c r="Q10" s="32" t="e">
        <f t="array" aca="1" ref="Q10" ca="1">SUM(
IF(DataP[Brand Safety 
'[% Failed by Keyword']]&lt;&gt;"NULL",
IF(DataP[Device Type]=ColumnP[[#This Row],[Metric]],
DataP[Brand Safety 
'[% Failed by Keyword']]*
SUBTOTAL(9,OFFSET(DataP[Total Impressions],ROW(DataP[Total Impressions])-MIN(ROW(DataP[Total Impressions])),0,1)))))
/
SUM(
IF(DataP[Brand Safety 
'[% Failed by Keyword']]&lt;&gt;"NULL",
IF(DataP[Device Type]=ColumnP[[#This Row],[Metric]],
SUBTOTAL(9,OFFSET(DataP[Total Impressions],ROW(DataP[Total Impressions])-MIN(ROW(DataP[Total Impressions])),0,1)))))</f>
        <v>#DIV/0!</v>
      </c>
      <c r="R10" s="32" t="e">
        <f t="array" aca="1" ref="R10" ca="1">SUM(
IF(DataP[Brand Safety 
'[% Failed by Blacklist']]&lt;&gt;"NULL",
IF(DataP[Device Type]=ColumnP[[#This Row],[Metric]],
DataP[Brand Safety 
'[% Failed by Blacklist']]*
SUBTOTAL(9,OFFSET(DataP[Total Impressions],ROW(DataP[Total Impressions])-MIN(ROW(DataP[Total Impressions])),0,1)))))
/
SUM(
IF(DataP[Brand Safety 
'[% Failed by Blacklist']]&lt;&gt;"NULL",
IF(DataP[Device Type]=ColumnP[[#This Row],[Metric]],
SUBTOTAL(9,OFFSET(DataP[Total Impressions],ROW(DataP[Total Impressions])-MIN(ROW(DataP[Total Impressions])),0,1)))))</f>
        <v>#DIV/0!</v>
      </c>
      <c r="S10" s="32" t="e">
        <f t="array" aca="1" ref="S10" ca="1">SUM(
IF(DataP[Brand Safety 
'[% Failed by Language']]&lt;&gt;"NULL",
IF(DataP[Device Type]=ColumnP[[#This Row],[Metric]],
DataP[Brand Safety 
'[% Failed by Language']]*
SUBTOTAL(9,OFFSET(DataP[Total Impressions],ROW(DataP[Total Impressions])-MIN(ROW(DataP[Total Impressions])),0,1)))))
/
SUM(
IF(DataP[Brand Safety 
'[% Failed by Language']]&lt;&gt;"NULL",
IF(DataP[Device Type]=ColumnP[[#This Row],[Metric]],
SUBTOTAL(9,OFFSET(DataP[Total Impressions],ROW(DataP[Total Impressions])-MIN(ROW(DataP[Total Impressions])),0,1)))))</f>
        <v>#DIV/0!</v>
      </c>
      <c r="T10" s="32" t="e">
        <f t="array" aca="1" ref="T10" ca="1">SUM(
IF(DataP[Fraud 
'[% Fraud']]&lt;&gt;"NULL",
IF(DataP[Device Type]=ColumnP[[#This Row],[Metric]],
DataP[Fraud 
'[% Fraud']]*
SUBTOTAL(9,OFFSET(DataP[Total Impressions],ROW(DataP[Total Impressions])-MIN(ROW(DataP[Total Impressions])),0,1)))))
/
SUM(
IF(DataP[Fraud 
'[% Fraud']]&lt;&gt;"NULL",
IF(DataP[Device Type]=ColumnP[[#This Row],[Metric]],
SUBTOTAL(9,OFFSET(DataP[Total Impressions],ROW(DataP[Total Impressions])-MIN(ROW(DataP[Total Impressions])),0,1)))))</f>
        <v>#DIV/0!</v>
      </c>
      <c r="U10" s="32" t="e">
        <f t="array" aca="1" ref="U10" ca="1">SUM(
IF(DataP[Viewability 
'[Total Viewable Rate (Total Net Metrics)']]&lt;&gt;"NULL",
IF(DataP[Device Type]=ColumnP[[#This Row],[Metric]],
DataP[Viewability 
'[Total Viewable Rate (Total Net Metrics)']]*
SUBTOTAL(9,OFFSET(DataP[Total Impressions],ROW(DataP[Total Impressions])-MIN(ROW(DataP[Total Impressions])),0,1)))))
/
SUM(
IF(DataP[Viewability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V10" s="32" t="e">
        <f t="array" aca="1" ref="V10" ca="1">SUM(
IF(DataP[Display Viewability 
'[Total Viewable Rate (Total Net Metrics)']]&lt;&gt;"NULL",
IF(DataP[Device Type]=ColumnP[[#This Row],[Metric]],
DataP[Display Viewability 
'[Total Viewable Rate (Total Net Metrics)']]*
SUBTOTAL(9,OFFSET(DataP[Total Impressions],ROW(DataP[Total Impressions])-MIN(ROW(DataP[Total Impressions])),0,1)))))
/
SUM(
IF(DataP[Display 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W10" s="32" t="e">
        <f t="array" aca="1" ref="W10" ca="1">SUM(
IF(DataP[Video Viewability 
'[Total Viewable Rate (Total Net Metrics)']]&lt;&gt;"NULL",
IF(DataP[Device Type]=ColumnP[[#This Row],[Metric]],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X10" s="32" t="e">
        <f t="array" aca="1" ref="X10" ca="1">SUM(
IF(DataP[GroupM Viewability 
'[% Display Ads Fully in View']]&lt;&gt;"NULL",
IF(DataP[Device Type]=ColumnP[[#This Row],[Metric]],
DataP[GroupM Viewability 
'[% Display Ads Fully in View']]*
SUBTOTAL(9,OFFSET(DataP[Total Impressions],ROW(DataP[Total Impressions])-MIN(ROW(DataP[Total Impressions])),0,1)))))
/
SUM(
IF(DataP[GroupM Viewability 
'[% Display Ads Fully in View']]&lt;&gt;"NULL",
IF(DataP[Device Type]=ColumnP[[#This Row],[Metric]],
SUBTOTAL(9,OFFSET(DataP[Total Impressions],ROW(DataP[Total Impressions])-MIN(ROW(DataP[Total Impressions])),0,1)))))</f>
        <v>#DIV/0!</v>
      </c>
      <c r="Y10" s="32" t="e">
        <f t="array" aca="1" ref="Y10" ca="1">SUM(
IF(DataP[GroupM Viewability 
'[% Videos Fully in View']]&lt;&gt;"NULL",
IF(DataP[Device Type]=ColumnP[[#This Row],[Metric]],
DataP[GroupM Viewability 
'[% Videos Fully in View']]*
SUBTOTAL(9,OFFSET(DataP[Total Impressions],ROW(DataP[Total Impressions])-MIN(ROW(DataP[Total Impressions])),0,1)))))
/
SUM(
IF(DataP[GroupM Viewability 
'[% Videos Fully in View']]&lt;&gt;"NULL",
IF(DataP[Device Type]=ColumnP[[#This Row],[Metric]],
SUBTOTAL(9,OFFSET(DataP[Total Impressions],ROW(DataP[Total Impressions])-MIN(ROW(DataP[Total Impressions])),0,1)))))</f>
        <v>#DIV/0!</v>
      </c>
      <c r="Z10" s="32" t="e">
        <f t="array" aca="1" ref="Z10" ca="1">SUM(
IF(DataP[Publicis Viewability 
'[% Display Ads Fully in View']]&lt;&gt;"NULL",
IF(DataP[Device Type]=ColumnP[[#This Row],[Metric]],
DataP[Publicis Viewability 
'[% Display Ads Fully in View']]*
SUBTOTAL(9,OFFSET(DataP[Total Impressions],ROW(DataP[Total Impressions])-MIN(ROW(DataP[Total Impressions])),0,1)))))
/
SUM(
IF(DataP[Publicis Viewability 
'[% Display Ads Fully in View']]&lt;&gt;"NULL",
IF(DataP[Device Type]=ColumnP[[#This Row],[Metric]],
SUBTOTAL(9,OFFSET(DataP[Total Impressions],ROW(DataP[Total Impressions])-MIN(ROW(DataP[Total Impressions])),0,1)))))</f>
        <v>#DIV/0!</v>
      </c>
      <c r="AA10" s="32" t="e">
        <f t="array" aca="1" ref="AA10" ca="1">SUM(
IF(DataP[Publicis Viewability 
'[% Videos Fully in View']]&lt;&gt;"NULL",
IF(DataP[Device Type]=ColumnP[[#This Row],[Metric]],
DataP[Publicis Viewability 
'[% Videos Fully in View']]*
SUBTOTAL(9,OFFSET(DataP[Total Impressions],ROW(DataP[Total Impressions])-MIN(ROW(DataP[Total Impressions])),0,1)))))
/
SUM(
IF(DataP[Publicis Viewability 
'[% Videos Fully in View']]&lt;&gt;"NULL",
IF(DataP[Device Type]=ColumnP[[#This Row],[Metric]],
SUBTOTAL(9,OFFSET(DataP[Total Impressions],ROW(DataP[Total Impressions])-MIN(ROW(DataP[Total Impressions])),0,1)))))</f>
        <v>#DIV/0!</v>
      </c>
      <c r="CX10" s="26"/>
    </row>
    <row r="11" spans="1:121" s="18" customFormat="1" ht="16.5" hidden="1" customHeight="1" x14ac:dyDescent="0.35">
      <c r="A11" s="27"/>
      <c r="B11" s="28"/>
      <c r="C11" s="28"/>
      <c r="D11" s="28"/>
      <c r="E11" s="60"/>
      <c r="F11" s="57"/>
      <c r="G11" s="116" t="s">
        <v>14</v>
      </c>
      <c r="H11" s="116"/>
      <c r="I11" s="27"/>
      <c r="J11" s="102" t="s">
        <v>140</v>
      </c>
      <c r="K11" s="31" t="e">
        <f t="array" aca="1" ref="K11" ca="1">SUM(
IF(DataP[Measured Rate 
'[% Measured']]&lt;&gt;"NULL",
IF(DataP[Partner Type]=ColumnP[[#This Row],[Metric]],
DataP[Measured Rate 
'[% Measured']]*
SUBTOTAL(9,OFFSET(DataP[Total Impressions],ROW(DataP[Total Impressions])-MIN(ROW(DataP[Total Impressions])),0,1)))))
/
SUM(
IF(DataP[Measured Rate 
'[% Measured']]&lt;&gt;"NULL",
IF(DataP[Partner Type]=ColumnP[[#This Row],[Metric]],
SUBTOTAL(9,OFFSET(DataP[Total Impressions],ROW(DataP[Total Impressions])-MIN(ROW(DataP[Total Impressions])),0,1)))))</f>
        <v>#DIV/0!</v>
      </c>
      <c r="L11" s="32" t="e">
        <f t="array" aca="1" ref="L11" ca="1">SUM(
IF(DataP[See-Through Rate 
'[% Visible']]&lt;&gt;"NULL",
IF(DataP[Partner Type]=ColumnP[[#This Row],[Metric]],
DataP[See-Through Rate 
'[% Visible']]*
SUBTOTAL(9,OFFSET(DataP[Total Impressions],ROW(DataP[Total Impressions])-MIN(ROW(DataP[Total Impressions])),0,1)))))
/
SUM(
IF(DataP[See-Through Rate 
'[% Visible']]&lt;&gt;"NULL",
IF(DataP[Partner Type]=ColumnP[[#This Row],[Metric]],
SUBTOTAL(9,OFFSET(DataP[Total Impressions],ROW(DataP[Total Impressions])-MIN(ROW(DataP[Total Impressions])),0,1)))))</f>
        <v>#DIV/0!</v>
      </c>
      <c r="M11" s="32" t="e">
        <f t="array" aca="1" ref="M11" ca="1">SUM(
IF(DataP[Brand Safety 
'[% Passed']]&lt;&gt;"NULL",
IF(DataP[Partner Type]=ColumnP[[#This Row],[Metric]],
DataP[Brand Safety 
'[% Passed']]*
SUBTOTAL(9,OFFSET(DataP[Total Impressions],ROW(DataP[Total Impressions])-MIN(ROW(DataP[Total Impressions])),0,1)))))
/
SUM(
IF(DataP[Brand Safety 
'[% Passed']]&lt;&gt;"NULL",
IF(DataP[Partner Type]=ColumnP[[#This Row],[Metric]],
SUBTOTAL(9,OFFSET(DataP[Total Impressions],ROW(DataP[Total Impressions])-MIN(ROW(DataP[Total Impressions])),0,1)))))</f>
        <v>#DIV/0!</v>
      </c>
      <c r="N11" s="32" t="e">
        <f t="array" aca="1" ref="N11" ca="1">SUM(
IF(DataP[Brand Safety 
'[% Failed']]&lt;&gt;"NULL",
IF(DataP[Partner Type]=ColumnP[[#This Row],[Metric]],
DataP[Brand Safety 
'[% Failed']]*
SUBTOTAL(9,OFFSET(DataP[Total Impressions],ROW(DataP[Total Impressions])-MIN(ROW(DataP[Total Impressions])),0,1)))))
/
SUM(
IF(DataP[Brand Safety 
'[% Failed']]&lt;&gt;"NULL",
IF(DataP[Partner Type]=ColumnP[[#This Row],[Metric]],
SUBTOTAL(9,OFFSET(DataP[Total Impressions],ROW(DataP[Total Impressions])-MIN(ROW(DataP[Total Impressions])),0,1)))))</f>
        <v>#DIV/0!</v>
      </c>
      <c r="O11" s="32" t="e">
        <f t="array" aca="1" ref="O11" ca="1">SUM(
IF(DataP[Brand Safety 
'[% Failed by Content']]&lt;&gt;"NULL",
IF(DataP[Partner Type]=ColumnP[[#This Row],[Metric]],
DataP[Brand Safety 
'[% Failed by Content']]*
SUBTOTAL(9,OFFSET(DataP[Total Impressions],ROW(DataP[Total Impressions])-MIN(ROW(DataP[Total Impressions])),0,1)))))
/
SUM(
IF(DataP[Brand Safety 
'[% Failed by Content']]&lt;&gt;"NULL",
IF(DataP[Partner Type]=ColumnP[[#This Row],[Metric]],
SUBTOTAL(9,OFFSET(DataP[Total Impressions],ROW(DataP[Total Impressions])-MIN(ROW(DataP[Total Impressions])),0,1)))))</f>
        <v>#DIV/0!</v>
      </c>
      <c r="P11" s="32" t="e">
        <f t="array" aca="1" ref="P11" ca="1">SUM(
IF(DataP[Brand Safety 
'[% Failed by Geo']]&lt;&gt;"NULL",
IF(DataP[Partner Type]=ColumnP[[#This Row],[Metric]],
DataP[Brand Safety 
'[% Failed by Geo']]*
SUBTOTAL(9,OFFSET(DataP[Total Impressions],ROW(DataP[Total Impressions])-MIN(ROW(DataP[Total Impressions])),0,1)))))
/
SUM(
IF(DataP[Brand Safety 
'[% Failed by Geo']]&lt;&gt;"NULL",
IF(DataP[Partner Type]=ColumnP[[#This Row],[Metric]],
SUBTOTAL(9,OFFSET(DataP[Total Impressions],ROW(DataP[Total Impressions])-MIN(ROW(DataP[Total Impressions])),0,1)))))</f>
        <v>#DIV/0!</v>
      </c>
      <c r="Q11" s="32" t="e">
        <f t="array" aca="1" ref="Q11" ca="1">SUM(
IF(DataP[Brand Safety 
'[% Failed by Keyword']]&lt;&gt;"NULL",
IF(DataP[Partner Type]=ColumnP[[#This Row],[Metric]],
DataP[Brand Safety 
'[% Failed by Keyword']]*
SUBTOTAL(9,OFFSET(DataP[Total Impressions],ROW(DataP[Total Impressions])-MIN(ROW(DataP[Total Impressions])),0,1)))))
/
SUM(
IF(DataP[Brand Safety 
'[% Failed by Keyword']]&lt;&gt;"NULL",
IF(DataP[Partner Type]=ColumnP[[#This Row],[Metric]],
SUBTOTAL(9,OFFSET(DataP[Total Impressions],ROW(DataP[Total Impressions])-MIN(ROW(DataP[Total Impressions])),0,1)))))</f>
        <v>#DIV/0!</v>
      </c>
      <c r="R11" s="32" t="e">
        <f t="array" aca="1" ref="R11" ca="1">SUM(
IF(DataP[Brand Safety 
'[% Failed by Blacklist']]&lt;&gt;"NULL",
IF(DataP[Partner Type]=ColumnP[[#This Row],[Metric]],
DataP[Brand Safety 
'[% Failed by Blacklist']]*
SUBTOTAL(9,OFFSET(DataP[Total Impressions],ROW(DataP[Total Impressions])-MIN(ROW(DataP[Total Impressions])),0,1)))))
/
SUM(
IF(DataP[Brand Safety 
'[% Failed by Blacklist']]&lt;&gt;"NULL",
IF(DataP[Partner Type]=ColumnP[[#This Row],[Metric]],
SUBTOTAL(9,OFFSET(DataP[Total Impressions],ROW(DataP[Total Impressions])-MIN(ROW(DataP[Total Impressions])),0,1)))))</f>
        <v>#DIV/0!</v>
      </c>
      <c r="S11" s="32" t="e">
        <f t="array" aca="1" ref="S11" ca="1">SUM(
IF(DataP[Brand Safety 
'[% Failed by Language']]&lt;&gt;"NULL",
IF(DataP[Partner Type]=ColumnP[[#This Row],[Metric]],
DataP[Brand Safety 
'[% Failed by Language']]*
SUBTOTAL(9,OFFSET(DataP[Total Impressions],ROW(DataP[Total Impressions])-MIN(ROW(DataP[Total Impressions])),0,1)))))
/
SUM(
IF(DataP[Brand Safety 
'[% Failed by Language']]&lt;&gt;"NULL",
IF(DataP[Partner Type]=ColumnP[[#This Row],[Metric]],
SUBTOTAL(9,OFFSET(DataP[Total Impressions],ROW(DataP[Total Impressions])-MIN(ROW(DataP[Total Impressions])),0,1)))))</f>
        <v>#DIV/0!</v>
      </c>
      <c r="T11" s="32" t="e">
        <f t="array" aca="1" ref="T11" ca="1">SUM(
IF(DataP[Fraud 
'[% Fraud']]&lt;&gt;"NULL",
IF(DataP[Partner Type]=ColumnP[[#This Row],[Metric]],
DataP[Fraud 
'[% Fraud']]*
SUBTOTAL(9,OFFSET(DataP[Total Impressions],ROW(DataP[Total Impressions])-MIN(ROW(DataP[Total Impressions])),0,1)))))
/
SUM(
IF(DataP[Fraud 
'[% Fraud']]&lt;&gt;"NULL",
IF(DataP[Partner Type]=ColumnP[[#This Row],[Metric]],
SUBTOTAL(9,OFFSET(DataP[Total Impressions],ROW(DataP[Total Impressions])-MIN(ROW(DataP[Total Impressions])),0,1)))))</f>
        <v>#DIV/0!</v>
      </c>
      <c r="U11" s="32" t="e">
        <f t="array" aca="1" ref="U11" ca="1">SUM(
IF(DataP[Viewability 
'[Total Viewable Rate (Total Net Metrics)']]&lt;&gt;"NULL",
IF(DataP[Partner Type]=ColumnP[[#This Row],[Metric]],
DataP[Viewability 
'[Total Viewable Rate (Total Net Metrics)']]*
SUBTOTAL(9,OFFSET(DataP[Total Impressions],ROW(DataP[Total Impressions])-MIN(ROW(DataP[Total Impressions])),0,1)))))
/
SUM(
IF(DataP[Viewability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V11" s="32" t="e">
        <f t="array" aca="1" ref="V11" ca="1">SUM(
IF(DataP[Display Viewability 
'[Total Viewable Rate (Total Net Metrics)']]&lt;&gt;"NULL",
IF(DataP[Partner Type]=ColumnP[[#This Row],[Metric]],
DataP[Display Viewability 
'[Total Viewable Rate (Total Net Metrics)']]*
SUBTOTAL(9,OFFSET(DataP[Total Impressions],ROW(DataP[Total Impressions])-MIN(ROW(DataP[Total Impressions])),0,1)))))
/
SUM(
IF(DataP[Display 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W11" s="32" t="e">
        <f t="array" aca="1" ref="W11" ca="1">SUM(
IF(DataP[Video Viewability 
'[Total Viewable Rate (Total Net Metrics)']]&lt;&gt;"NULL",
IF(DataP[Partner Type]=ColumnP[[#This Row],[Metric]],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X11" s="32" t="e">
        <f t="array" aca="1" ref="X11" ca="1">SUM(
IF(DataP[GroupM Viewability 
'[% Display Ads Fully in View']]&lt;&gt;"NULL",
IF(DataP[Partner Type]=ColumnP[[#This Row],[Metric]],
DataP[GroupM Viewability 
'[% Display Ads Fully in View']]*
SUBTOTAL(9,OFFSET(DataP[Total Impressions],ROW(DataP[Total Impressions])-MIN(ROW(DataP[Total Impressions])),0,1)))))
/
SUM(
IF(DataP[GroupM Viewability 
'[% Display Ads Fully in View']]&lt;&gt;"NULL",
IF(DataP[Partner Type]=ColumnP[[#This Row],[Metric]],
SUBTOTAL(9,OFFSET(DataP[Total Impressions],ROW(DataP[Total Impressions])-MIN(ROW(DataP[Total Impressions])),0,1)))))</f>
        <v>#DIV/0!</v>
      </c>
      <c r="Y11" s="32" t="e">
        <f t="array" aca="1" ref="Y11" ca="1">SUM(
IF(DataP[GroupM Viewability 
'[% Videos Fully in View']]&lt;&gt;"NULL",
IF(DataP[Partner Type]=ColumnP[[#This Row],[Metric]],
DataP[GroupM Viewability 
'[% Videos Fully in View']]*
SUBTOTAL(9,OFFSET(DataP[Total Impressions],ROW(DataP[Total Impressions])-MIN(ROW(DataP[Total Impressions])),0,1)))))
/
SUM(
IF(DataP[GroupM Viewability 
'[% Videos Fully in View']]&lt;&gt;"NULL",
IF(DataP[Partner Type]=ColumnP[[#This Row],[Metric]],
SUBTOTAL(9,OFFSET(DataP[Total Impressions],ROW(DataP[Total Impressions])-MIN(ROW(DataP[Total Impressions])),0,1)))))</f>
        <v>#DIV/0!</v>
      </c>
      <c r="Z11" s="32" t="e">
        <f t="array" aca="1" ref="Z11" ca="1">SUM(
IF(DataP[Publicis Viewability 
'[% Display Ads Fully in View']]&lt;&gt;"NULL",
IF(DataP[Partner Type]=ColumnP[[#This Row],[Metric]],
DataP[Publicis Viewability 
'[% Display Ads Fully in View']]*
SUBTOTAL(9,OFFSET(DataP[Total Impressions],ROW(DataP[Total Impressions])-MIN(ROW(DataP[Total Impressions])),0,1)))))
/
SUM(
IF(DataP[Publicis Viewability 
'[% Display Ads Fully in View']]&lt;&gt;"NULL",
IF(DataP[Partner Type]=ColumnP[[#This Row],[Metric]],
SUBTOTAL(9,OFFSET(DataP[Total Impressions],ROW(DataP[Total Impressions])-MIN(ROW(DataP[Total Impressions])),0,1)))))</f>
        <v>#DIV/0!</v>
      </c>
      <c r="AA11" s="32" t="e">
        <f t="array" aca="1" ref="AA11" ca="1">SUM(
IF(DataP[Publicis Viewability 
'[% Videos Fully in View']]&lt;&gt;"NULL",
IF(DataP[Partner Type]=ColumnP[[#This Row],[Metric]],
DataP[Publicis Viewability 
'[% Videos Fully in View']]*
SUBTOTAL(9,OFFSET(DataP[Total Impressions],ROW(DataP[Total Impressions])-MIN(ROW(DataP[Total Impressions])),0,1)))))
/
SUM(
IF(DataP[Publicis Viewability 
'[% Videos Fully in View']]&lt;&gt;"NULL",
IF(DataP[Partner Type]=ColumnP[[#This Row],[Metric]],
SUBTOTAL(9,OFFSET(DataP[Total Impressions],ROW(DataP[Total Impressions])-MIN(ROW(DataP[Total Impressions])),0,1)))))</f>
        <v>#DIV/0!</v>
      </c>
      <c r="CX11" s="26"/>
    </row>
    <row r="12" spans="1:121" s="18" customFormat="1" ht="16.5" hidden="1" customHeight="1" x14ac:dyDescent="0.35">
      <c r="A12" s="36"/>
      <c r="B12" s="82"/>
      <c r="C12" s="82"/>
      <c r="D12" s="28"/>
      <c r="E12" s="60"/>
      <c r="F12" s="57"/>
      <c r="G12" s="228" t="s">
        <v>8</v>
      </c>
      <c r="H12" s="228"/>
      <c r="I12" s="27"/>
      <c r="J12" s="103" t="s">
        <v>7</v>
      </c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CQ12" s="75"/>
      <c r="CX12" s="26"/>
    </row>
    <row r="13" spans="1:121" s="18" customFormat="1" ht="15.75" hidden="1" customHeight="1" x14ac:dyDescent="0.35">
      <c r="A13" s="22"/>
      <c r="B13" s="81"/>
      <c r="C13" s="28"/>
      <c r="D13" s="28"/>
      <c r="E13" s="63"/>
      <c r="F13" s="57"/>
      <c r="G13" s="228" t="s">
        <v>8</v>
      </c>
      <c r="H13" s="228"/>
      <c r="I13" s="2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  <c r="CQ13" s="75"/>
      <c r="CX13" s="26"/>
    </row>
    <row r="14" spans="1:121" s="18" customFormat="1" ht="15.75" customHeight="1" thickBot="1" x14ac:dyDescent="0.4">
      <c r="B14" s="35"/>
      <c r="C14" s="13" t="s">
        <v>21</v>
      </c>
      <c r="D14" s="13" t="s">
        <v>21</v>
      </c>
      <c r="E14" s="22"/>
      <c r="F14" s="13" t="s">
        <v>21</v>
      </c>
      <c r="G14" s="13"/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40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">
        <v>165</v>
      </c>
      <c r="C16" s="46" t="s">
        <v>166</v>
      </c>
      <c r="D16" s="46" t="s">
        <v>10</v>
      </c>
      <c r="E16" s="46" t="s">
        <v>10</v>
      </c>
      <c r="F16" s="46" t="s">
        <v>10</v>
      </c>
      <c r="G16" s="46" t="s">
        <v>124</v>
      </c>
      <c r="H16" s="46">
        <v>13148469</v>
      </c>
      <c r="I16" s="47">
        <v>19828295</v>
      </c>
      <c r="J16" s="48">
        <v>0.68152249431199996</v>
      </c>
      <c r="K16" s="49">
        <v>0.70397369012300004</v>
      </c>
      <c r="L16" s="49">
        <v>0.95292479761899995</v>
      </c>
      <c r="M16" s="49">
        <v>4.7075202381199999E-2</v>
      </c>
      <c r="N16" s="49">
        <v>1.5841805863800001E-2</v>
      </c>
      <c r="O16" s="49">
        <v>4.7008580414999998E-4</v>
      </c>
      <c r="P16" s="49">
        <v>2.1768992240599999E-2</v>
      </c>
      <c r="Q16" s="49">
        <v>1.7364074924200001E-4</v>
      </c>
      <c r="R16" s="49">
        <v>0</v>
      </c>
      <c r="S16" s="49">
        <v>9.2195017271999996E-3</v>
      </c>
      <c r="T16" s="49">
        <v>0.64080593717800005</v>
      </c>
      <c r="U16" s="49">
        <v>0.63650054192100003</v>
      </c>
      <c r="V16" s="49">
        <v>0.85731169793700002</v>
      </c>
      <c r="W16" s="49">
        <v>0</v>
      </c>
      <c r="X16" s="49">
        <v>0</v>
      </c>
      <c r="Y16" s="49">
        <v>0</v>
      </c>
      <c r="Z16" s="49">
        <v>0</v>
      </c>
      <c r="AA16" s="49">
        <v>0.25</v>
      </c>
    </row>
    <row r="17" spans="23:65" ht="15" customHeight="1" x14ac:dyDescent="0.25">
      <c r="W17" s="76"/>
    </row>
    <row r="18" spans="23:65" ht="15" customHeight="1" x14ac:dyDescent="0.25">
      <c r="W18" s="76"/>
    </row>
    <row r="19" spans="23:65" ht="15" customHeight="1" x14ac:dyDescent="0.25">
      <c r="W19" s="76"/>
    </row>
    <row r="20" spans="23:65" ht="15" customHeight="1" x14ac:dyDescent="0.25">
      <c r="W20" s="76"/>
    </row>
    <row r="21" spans="23:65" ht="15" customHeight="1" x14ac:dyDescent="0.25">
      <c r="W21" s="76"/>
    </row>
    <row r="22" spans="23:65" ht="15" customHeight="1" x14ac:dyDescent="0.25">
      <c r="BM22" s="14" t="e">
        <v>#VALUE!</v>
      </c>
    </row>
  </sheetData>
  <sheetProtection formatCells="0" insertColumns="0" insertRows="0" insertHyperlinks="0" deleteColumns="0" deleteRows="0" selectLockedCells="1" sort="0" autoFilter="0" pivotTables="0"/>
  <mergeCells count="6">
    <mergeCell ref="G13:H13"/>
    <mergeCell ref="B9:E9"/>
    <mergeCell ref="G6:H6"/>
    <mergeCell ref="G7:H7"/>
    <mergeCell ref="G8:H8"/>
    <mergeCell ref="G12:H12"/>
  </mergeCells>
  <conditionalFormatting sqref="K16:AA16">
    <cfRule type="cellIs" dxfId="45" priority="32" operator="equal">
      <formula>""</formula>
    </cfRule>
  </conditionalFormatting>
  <conditionalFormatting sqref="A9:G9 A1:XFD6 I9:XFD9 A8:XFD8 A7:J7 AB7:XFD7 A10:XFD1048576">
    <cfRule type="expression" dxfId="44" priority="31">
      <formula>ISERROR(A1)</formula>
    </cfRule>
  </conditionalFormatting>
  <conditionalFormatting sqref="K16:AA16 K9:AA11">
    <cfRule type="expression" dxfId="43" priority="35">
      <formula>IF(K$7="N/A",0,IF(K$7="Above",K9&lt;=(1-$J$4)*K$8,K9&gt;=(1+$J$4)*K$8))</formula>
    </cfRule>
    <cfRule type="expression" dxfId="42" priority="36">
      <formula>IF(OR(K$7="N/A",K9=0),0,IF(K$7="Above",K9&gt;=(1+$J$3)*K$8,K9&lt;=(1-$J$3)*K$8))</formula>
    </cfRule>
  </conditionalFormatting>
  <conditionalFormatting sqref="H9">
    <cfRule type="expression" dxfId="41" priority="2">
      <formula>ISERROR(H9)</formula>
    </cfRule>
  </conditionalFormatting>
  <conditionalFormatting sqref="K7:AA7">
    <cfRule type="expression" dxfId="40" priority="1">
      <formula>ISERROR(K7)</formula>
    </cfRule>
  </conditionalFormatting>
  <dataValidations disablePrompts="1" count="8">
    <dataValidation allowBlank="1" showInputMessage="1" showErrorMessage="1" errorTitle="Invalid Entry" error="Please select/enter a value from 1 to 5 from the dropdown." sqref="AB12:XFD13 K10:AA11 J11 G9:G11 J9 A12:D13 H9" xr:uid="{00000000-0002-0000-0200-000000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200-000002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200-000003000000}"/>
    <dataValidation allowBlank="1" showInputMessage="1" showErrorMessage="1" prompt="Cell will highlight red if performance deviates by more than this percentage of the client goal." sqref="J4" xr:uid="{00000000-0002-0000-0200-000004000000}"/>
    <dataValidation type="list" allowBlank="1" showInputMessage="1" showErrorMessage="1" errorTitle="Invalid Entry" error="Please select/enter a value from 1 to 5 from the dropdown." sqref="K13:AA13" xr:uid="{00000000-0002-0000-02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200-000006000000}">
      <formula1>DeviceDropdown</formula1>
    </dataValidation>
    <dataValidation type="list" allowBlank="1" showInputMessage="1" showErrorMessage="1" sqref="B15" xr:uid="{00000000-0002-0000-0200-000007000000}">
      <formula1>"Region (Team), Partner Type"</formula1>
    </dataValidation>
    <dataValidation type="list" allowBlank="1" showInputMessage="1" showErrorMessage="1" sqref="X18" xr:uid="{00000000-0002-0000-0200-000001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3" operator="containsText" id="{F74252C3-2457-43AB-9B8C-FA84572E4EB1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Q16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E18" sqref="B17:AA220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5" width="30.453125" style="50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52"/>
      <c r="F1" s="13" t="s">
        <v>21</v>
      </c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52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52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52"/>
      <c r="F4" s="16"/>
      <c r="G4" s="16"/>
      <c r="H4" s="11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52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7" t="s">
        <v>155</v>
      </c>
      <c r="C6" s="77"/>
      <c r="D6" s="234" t="s">
        <v>155</v>
      </c>
      <c r="E6" s="234"/>
      <c r="F6" s="28"/>
      <c r="G6" s="220" t="s">
        <v>133</v>
      </c>
      <c r="H6" s="221"/>
      <c r="I6" s="90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27"/>
      <c r="B7" s="28"/>
      <c r="C7" s="28"/>
      <c r="D7" s="28"/>
      <c r="E7" s="63"/>
      <c r="F7" s="28"/>
      <c r="G7" s="229" t="s">
        <v>132</v>
      </c>
      <c r="H7" s="230"/>
      <c r="I7" s="109"/>
      <c r="J7" s="12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26"/>
    </row>
    <row r="8" spans="1:121" s="18" customFormat="1" ht="15.75" customHeight="1" x14ac:dyDescent="0.35">
      <c r="A8" s="22"/>
      <c r="B8" s="70"/>
      <c r="C8" s="70"/>
      <c r="D8" s="235" t="str">
        <f ca="1">MID(CELL("filename",A1),FIND("]",CELL("filename",A1))+1,255)&amp;" Level Scorecard"</f>
        <v>Campaign &amp; Partner Level Scorecard</v>
      </c>
      <c r="E8" s="235"/>
      <c r="F8" s="28"/>
      <c r="G8" s="231" t="s">
        <v>132</v>
      </c>
      <c r="H8" s="232"/>
      <c r="I8" s="129"/>
      <c r="J8" s="127" t="s">
        <v>16</v>
      </c>
      <c r="K8" s="128">
        <f>VLOOKUP(K6,Benchmark_Legend[],MATCH(ColumnCP[[#This Row],[Metric]],Benchmark_Legend[#Headers],0),0)</f>
        <v>0.7</v>
      </c>
      <c r="L8" s="128">
        <f>VLOOKUP(L6,Benchmark_Legend[],MATCH(ColumnCP[[#This Row],[Metric]],Benchmark_Legend[#Headers],0),0)</f>
        <v>0.98</v>
      </c>
      <c r="M8" s="128">
        <f>VLOOKUP(M6,Benchmark_Legend[],MATCH(ColumnCP[[#This Row],[Metric]],Benchmark_Legend[#Headers],0),0)</f>
        <v>0.95</v>
      </c>
      <c r="N8" s="128">
        <f>VLOOKUP(N6,Benchmark_Legend[],MATCH(ColumnCP[[#This Row],[Metric]],Benchmark_Legend[#Headers],0),0)</f>
        <v>0.05</v>
      </c>
      <c r="O8" s="128">
        <f>VLOOKUP(O6,Benchmark_Legend[],MATCH(ColumnCP[[#This Row],[Metric]],Benchmark_Legend[#Headers],0),0)</f>
        <v>0.02</v>
      </c>
      <c r="P8" s="128">
        <f>VLOOKUP(P6,Benchmark_Legend[],MATCH(ColumnCP[[#This Row],[Metric]],Benchmark_Legend[#Headers],0),0)</f>
        <v>0.02</v>
      </c>
      <c r="Q8" s="128">
        <f>VLOOKUP(Q6,Benchmark_Legend[],MATCH(ColumnCP[[#This Row],[Metric]],Benchmark_Legend[#Headers],0),0)</f>
        <v>0.01</v>
      </c>
      <c r="R8" s="128">
        <f>VLOOKUP(R6,Benchmark_Legend[],MATCH(ColumnCP[[#This Row],[Metric]],Benchmark_Legend[#Headers],0),0)</f>
        <v>0.01</v>
      </c>
      <c r="S8" s="128">
        <f>VLOOKUP(S6,Benchmark_Legend[],MATCH(ColumnCP[[#This Row],[Metric]],Benchmark_Legend[#Headers],0),0)</f>
        <v>0.01</v>
      </c>
      <c r="T8" s="128">
        <f>VLOOKUP(T6,Benchmark_Legend[],MATCH(ColumnCP[[#This Row],[Metric]],Benchmark_Legend[#Headers],0),0)</f>
        <v>0.03</v>
      </c>
      <c r="U8" s="128">
        <f>VLOOKUP(U6,Benchmark_Legend[],MATCH(ColumnCP[[#This Row],[Metric]],Benchmark_Legend[#Headers],0),0)</f>
        <v>0.55000000000000004</v>
      </c>
      <c r="V8" s="128">
        <f>VLOOKUP(V6,Benchmark_Legend[],MATCH(ColumnCP[[#This Row],[Metric]],Benchmark_Legend[#Headers],0),0)</f>
        <v>0.6</v>
      </c>
      <c r="W8" s="128">
        <f>VLOOKUP(W6,Benchmark_Legend[],MATCH(ColumnCP[[#This Row],[Metric]],Benchmark_Legend[#Headers],0),0)</f>
        <v>0.5</v>
      </c>
      <c r="X8" s="128">
        <f>VLOOKUP(X6,Benchmark_Legend[],MATCH(ColumnCP[[#This Row],[Metric]],Benchmark_Legend[#Headers],0),0)</f>
        <v>0.35</v>
      </c>
      <c r="Y8" s="128">
        <f>VLOOKUP(Y6,Benchmark_Legend[],MATCH(ColumnCP[[#This Row],[Metric]],Benchmark_Legend[#Headers],0),0)</f>
        <v>0.25</v>
      </c>
      <c r="Z8" s="128">
        <f>VLOOKUP(Z6,Benchmark_Legend[],MATCH(ColumnCP[[#This Row],[Metric]],Benchmark_Legend[#Headers],0),0)</f>
        <v>0.35</v>
      </c>
      <c r="AA8" s="128">
        <f>VLOOKUP(AA6,Benchmark_Legend[],MATCH(ColumnCP[[#This Row],[Metric]],Benchmark_Legend[#Headers],0),0)</f>
        <v>0.25</v>
      </c>
      <c r="AB8" s="26"/>
    </row>
    <row r="9" spans="1:121" s="18" customFormat="1" ht="15.75" customHeight="1" thickBot="1" x14ac:dyDescent="0.4">
      <c r="A9" s="22"/>
      <c r="B9" s="233" t="s">
        <v>154</v>
      </c>
      <c r="C9" s="233"/>
      <c r="D9" s="233"/>
      <c r="E9" s="233"/>
      <c r="F9" s="28"/>
      <c r="G9" s="118" t="s">
        <v>14</v>
      </c>
      <c r="H9" s="122" t="s">
        <v>14</v>
      </c>
      <c r="I9" s="110"/>
      <c r="J9" s="111" t="s">
        <v>130</v>
      </c>
      <c r="K9" s="100" t="e">
        <f t="array" aca="1" ref="K9" ca="1">SUM(
IF((DataCP[Measured Rate 
'[% Measured']]&lt;&gt;"NULL"),
DataCP[Measured Rate 
'[% Measured']]*
SUBTOTAL(9,OFFSET(DataCP[Total Impressions],ROW(DataCP[Total Impressions])-MIN(ROW(DataCP[Total Impressions])),0,1))))
/
SUM(
IF((DataCP[Measured Rate 
'[% Measured']]&lt;&gt;"NULL"),
SUBTOTAL(9,OFFSET(DataCP[Total Impressions],ROW(DataCP[Total Impressions])-MIN(ROW(DataCP[Total Impressions])),0,1))))</f>
        <v>#VALUE!</v>
      </c>
      <c r="L9" s="100" t="e">
        <f t="array" aca="1" ref="L9" ca="1">SUM(
IF((DataCP[See-Through Rate 
'[% Visible']]&lt;&gt;"NULL"),
DataCP[See-Through Rate 
'[% Visible']]*
SUBTOTAL(9,OFFSET(DataCP[Total Impressions],ROW(DataCP[Total Impressions])-MIN(ROW(DataCP[Total Impressions])),0,1))))
/
SUM(
IF((DataCP[See-Through Rate 
'[% Visible']]&lt;&gt;"NULL"),
SUBTOTAL(9,OFFSET(DataCP[Total Impressions],ROW(DataCP[Total Impressions])-MIN(ROW(DataCP[Total Impressions])),0,1))))</f>
        <v>#VALUE!</v>
      </c>
      <c r="M9" s="112" t="e">
        <f t="array" aca="1" ref="M9" ca="1">SUM(
IF((DataCP[Brand Safety 
'[% Passed']]&lt;&gt;"NULL"),
DataCP[Brand Safety 
'[% Passed']]*
SUBTOTAL(9,OFFSET(DataCP[Total Impressions],ROW(DataCP[Total Impressions])-MIN(ROW(DataCP[Total Impressions])),0,1))))
/
SUM(
IF((DataCP[Brand Safety 
'[% Passed']]&lt;&gt;"NULL"),
SUBTOTAL(9,OFFSET(DataCP[Total Impressions],ROW(DataCP[Total Impressions])-MIN(ROW(DataCP[Total Impressions])),0,1))))</f>
        <v>#VALUE!</v>
      </c>
      <c r="N9" s="112" t="e">
        <f t="array" aca="1" ref="N9" ca="1">SUM(
IF((DataCP[Brand Safety 
'[% Failed']]&lt;&gt;"NULL"),
DataCP[Brand Safety 
'[% Failed']]*
SUBTOTAL(9,OFFSET(DataCP[Total Impressions],ROW(DataCP[Total Impressions])-MIN(ROW(DataCP[Total Impressions])),0,1))))
/
SUM(
IF((DataCP[Brand Safety 
'[% Failed']]&lt;&gt;"NULL"),
SUBTOTAL(9,OFFSET(DataCP[Total Impressions],ROW(DataCP[Total Impressions])-MIN(ROW(DataCP[Total Impressions])),0,1))))</f>
        <v>#VALUE!</v>
      </c>
      <c r="O9" s="112" t="e">
        <f t="array" aca="1" ref="O9" ca="1">SUM(
IF((DataCP[Brand Safety 
'[% Failed by Content']]&lt;&gt;"NULL"),
DataCP[Brand Safety 
'[% Failed by Content']]*
SUBTOTAL(9,OFFSET(DataCP[Total Impressions],ROW(DataCP[Total Impressions])-MIN(ROW(DataCP[Total Impressions])),0,1))))
/
SUM(
IF((DataCP[Brand Safety 
'[% Failed by Content']]&lt;&gt;"NULL"),
SUBTOTAL(9,OFFSET(DataCP[Total Impressions],ROW(DataCP[Total Impressions])-MIN(ROW(DataCP[Total Impressions])),0,1))))</f>
        <v>#VALUE!</v>
      </c>
      <c r="P9" s="112" t="e">
        <f t="array" aca="1" ref="P9" ca="1">SUM(
IF((DataCP[Brand Safety 
'[% Failed by Geo']]&lt;&gt;"NULL"),
DataCP[Brand Safety 
'[% Failed by Geo']]*
SUBTOTAL(9,OFFSET(DataCP[Total Impressions],ROW(DataCP[Total Impressions])-MIN(ROW(DataCP[Total Impressions])),0,1))))
/
SUM(
IF((DataCP[Brand Safety 
'[% Failed by Geo']]&lt;&gt;"NULL"),
SUBTOTAL(9,OFFSET(DataCP[Total Impressions],ROW(DataCP[Total Impressions])-MIN(ROW(DataCP[Total Impressions])),0,1))))</f>
        <v>#VALUE!</v>
      </c>
      <c r="Q9" s="100" t="e">
        <f t="array" aca="1" ref="Q9" ca="1">SUM(
IF((DataCP[Brand Safety 
'[% Failed by Keyword']]&lt;&gt;"NULL"),
DataCP[Brand Safety 
'[% Failed by Keyword']]*
SUBTOTAL(9,OFFSET(DataCP[Total Impressions],ROW(DataCP[Total Impressions])-MIN(ROW(DataCP[Total Impressions])),0,1))))
/
SUM(
IF((DataCP[Brand Safety 
'[% Failed by Keyword']]&lt;&gt;"NULL"),
SUBTOTAL(9,OFFSET(DataCP[Total Impressions],ROW(DataCP[Total Impressions])-MIN(ROW(DataCP[Total Impressions])),0,1))))</f>
        <v>#VALUE!</v>
      </c>
      <c r="R9" s="100" t="e">
        <f t="array" aca="1" ref="R9" ca="1">SUM(
IF((DataCP[Brand Safety 
'[% Failed by Blacklist']]&lt;&gt;"NULL"),
DataCP[Brand Safety 
'[% Failed by Blacklist']]*
SUBTOTAL(9,OFFSET(DataCP[Total Impressions],ROW(DataCP[Total Impressions])-MIN(ROW(DataCP[Total Impressions])),0,1))))
/
SUM(
IF((DataCP[Brand Safety 
'[% Failed by Blacklist']]&lt;&gt;"NULL"),
SUBTOTAL(9,OFFSET(DataCP[Total Impressions],ROW(DataCP[Total Impressions])-MIN(ROW(DataCP[Total Impressions])),0,1))))</f>
        <v>#VALUE!</v>
      </c>
      <c r="S9" s="100" t="e">
        <f t="array" aca="1" ref="S9" ca="1">SUM(
IF((DataCP[Brand Safety 
'[% Failed by Language']]&lt;&gt;"NULL"),
DataCP[Brand Safety 
'[% Failed by Language']]*
SUBTOTAL(9,OFFSET(DataCP[Total Impressions],ROW(DataCP[Total Impressions])-MIN(ROW(DataCP[Total Impressions])),0,1))))
/
SUM(
IF((DataCP[Brand Safety 
'[% Failed by Language']]&lt;&gt;"NULL"),
SUBTOTAL(9,OFFSET(DataCP[Total Impressions],ROW(DataCP[Total Impressions])-MIN(ROW(DataCP[Total Impressions])),0,1))))</f>
        <v>#VALUE!</v>
      </c>
      <c r="T9" s="100" t="e">
        <f t="array" aca="1" ref="T9" ca="1">SUM(
IF((DataCP[Fraud 
'[% Fraud']]&lt;&gt;"NULL"),
DataCP[Fraud 
'[% Fraud']]*
SUBTOTAL(9,OFFSET(DataCP[Total Impressions],ROW(DataCP[Total Impressions])-MIN(ROW(DataCP[Total Impressions])),0,1))))
/
SUM(
IF((DataCP[Fraud 
'[% Fraud']]&lt;&gt;"NULL"),
SUBTOTAL(9,OFFSET(DataCP[Total Impressions],ROW(DataCP[Total Impressions])-MIN(ROW(DataCP[Total Impressions])),0,1))))</f>
        <v>#VALUE!</v>
      </c>
      <c r="U9" s="100" t="e">
        <f t="array" aca="1" ref="U9" ca="1">SUM(
IF((DataCP[Viewability 
'[Total Viewable Rate (Total Net Metrics)']]&lt;&gt;"NULL"),
DataCP[Viewability 
'[Total Viewable Rate (Total Net Metrics)']]*SUBTOTAL(9,OFFSET(DataCP[Measured Impressions],ROW(DataCP[Measured Impressions])-MIN(ROW(DataCP[Measured Impressions])),0,1))))
/
SUM(
IF((DataCP[Viewability 
'[Total Viewable Rate (Total Net Metrics)']]&lt;&gt;"NULL"),
SUBTOTAL(9,OFFSET(DataCP[Measured Impressions],ROW(DataCP[Measured Impressions])-MIN(ROW(DataCP[Measured Impressions])),0,1))))</f>
        <v>#VALUE!</v>
      </c>
      <c r="V9" s="100" t="e">
        <f t="array" aca="1" ref="V9" ca="1">SUM(
IF((DataCP[Display Viewability 
'[Total Viewable Rate (Total Net Metrics)']]&lt;&gt;"NULL"),
DataCP[Display Viewability 
'[Total Viewable Rate (Total Net Metrics)']]*SUBTOTAL(9,OFFSET(DataCP[Measured Impressions],ROW(DataCP[Measured Impressions])-MIN(ROW(DataCP[Measured Impressions])),0,1))))
/
SUM(
IF((DataCP[Display Viewability 
'[Total Viewable Rate (Total Net Metrics)']]&lt;&gt;"NULL"),
SUBTOTAL(9,OFFSET(DataCP[Measured Impressions],ROW(DataCP[Measured Impressions])-MIN(ROW(DataCP[Measured Impressions])),0,1))))</f>
        <v>#VALUE!</v>
      </c>
      <c r="W9" s="112" t="e">
        <f t="array" aca="1" ref="W9" ca="1">SUM(
IF((DataCP[Video Viewability 
'[Total Viewable Rate (Total Net Metrics)']]&lt;&gt;"NULL"),
DataCP[Video Viewability 
'[Total Viewable Rate (Total Net Metrics)']]*SUBTOTAL(9,OFFSET(DataCP[Measured Impressions],ROW(DataCP[Measured Impressions])-MIN(ROW(DataCP[Measured Impressions])),0,1))))
/
SUM(
IF((DataCP[Video Viewability 
'[Total Viewable Rate (Total Net Metrics)']]&lt;&gt;"NULL"),
SUBTOTAL(9,OFFSET(DataCP[Measured Impressions],ROW(DataCP[Measured Impressions])-MIN(ROW(DataCP[Measured Impressions])),0,1))))</f>
        <v>#VALUE!</v>
      </c>
      <c r="X9" s="100" t="e">
        <f t="array" aca="1" ref="X9" ca="1">SUM(
IF((DataCP[GroupM Viewability 
'[% Display Ads Fully in View']]&lt;&gt;"NULL"),
DataCP[GroupM Viewability 
'[% Display Ads Fully in View']]*SUBTOTAL(9,OFFSET(DataCP[Measured Impressions],ROW(DataCP[Measured Impressions])-MIN(ROW(DataCP[Measured Impressions])),0,1))))
/
SUM(
IF((DataCP[GroupM Viewability 
'[% Display Ads Fully in View']]&lt;&gt;"NULL"),
SUBTOTAL(9,OFFSET(DataCP[Measured Impressions],ROW(DataCP[Measured Impressions])-MIN(ROW(DataCP[Measured Impressions])),0,1))))</f>
        <v>#VALUE!</v>
      </c>
      <c r="Y9" s="112" t="e">
        <f t="array" aca="1" ref="Y9" ca="1">SUM(
IF((DataCP[GroupM Viewability 
'[% Videos Fully in View']]&lt;&gt;"NULL"),
DataCP[GroupM Viewability 
'[% Videos Fully in View']]*SUBTOTAL(9,OFFSET(DataCP[Measured Impressions],ROW(DataCP[Measured Impressions])-MIN(ROW(DataCP[Measured Impressions])),0,1))))
/
SUM(
IF((DataCP[GroupM Viewability 
'[% Videos Fully in View']]&lt;&gt;"NULL"),
SUBTOTAL(9,OFFSET(DataCP[Measured Impressions],ROW(DataCP[Measured Impressions])-MIN(ROW(DataCP[Measured Impressions])),0,1))))</f>
        <v>#VALUE!</v>
      </c>
      <c r="Z9" s="100" t="e">
        <f t="array" aca="1" ref="Z9" ca="1">SUM(
IF((DataCP[Publicis Viewability 
'[% Display Ads Fully in View']]&lt;&gt;"NULL"),
DataCP[Publicis Viewability 
'[% Display Ads Fully in View']]*SUBTOTAL(9,OFFSET(DataCP[Measured Impressions],ROW(DataCP[Measured Impressions])-MIN(ROW(DataCP[Measured Impressions])),0,1))))
/
SUM(
IF((DataCP[Publicis Viewability 
'[% Display Ads Fully in View']]&lt;&gt;"NULL"),
SUBTOTAL(9,OFFSET(DataCP[Measured Impressions],ROW(DataCP[Measured Impressions])-MIN(ROW(DataCP[Measured Impressions])),0,1))))</f>
        <v>#VALUE!</v>
      </c>
      <c r="AA9" s="100" t="e">
        <f t="array" aca="1" ref="AA9" ca="1">SUM(
IF((DataCP[Publicis Viewability 
'[% Videos Fully in View']]&lt;&gt;"NULL"),
DataCP[Publicis Viewability 
'[% Videos Fully in View']]*SUBTOTAL(9,OFFSET(DataCP[Measured Impressions],ROW(DataCP[Measured Impressions])-MIN(ROW(DataCP[Measured Impressions])),0,1))))
/
SUM(
IF((DataCP[Publicis Viewability 
'[% Videos Fully in View']]&lt;&gt;"NULL"),
SUBTOTAL(9,OFFSET(DataCP[Measured Impressions],ROW(DataCP[Measured Impressions])-MIN(ROW(DataCP[Measured Impressions])),0,1))))</f>
        <v>#VALUE!</v>
      </c>
      <c r="AB9" s="26"/>
    </row>
    <row r="10" spans="1:121" s="18" customFormat="1" ht="15" hidden="1" customHeight="1" x14ac:dyDescent="0.35">
      <c r="A10" s="236"/>
      <c r="B10" s="237"/>
      <c r="C10" s="237"/>
      <c r="D10" s="237"/>
      <c r="E10" s="58"/>
      <c r="F10" s="28"/>
      <c r="G10" s="116" t="s">
        <v>14</v>
      </c>
      <c r="H10" s="116"/>
      <c r="I10" s="27"/>
      <c r="J10" s="102" t="s">
        <v>126</v>
      </c>
      <c r="K10" s="31" t="e">
        <f t="array" aca="1" ref="K10" ca="1">SUM(
IF(DataCP[Measured Rate 
'[% Measured']]&lt;&gt;"NULL",
IF(DataCP[Device Type]=ColumnCP[[#This Row],[Metric]],
DataCP[Measured Rate 
'[% Measured']]*
SUBTOTAL(9,OFFSET(DataCP[Total Impressions],ROW(DataCP[Total Impressions])-MIN(ROW(DataCP[Total Impressions])),0,1)))))
/
SUM(
IF(DataCP[Measured Rate 
'[% Measured']]&lt;&gt;"NULL",
IF(DataCP[Device Type]=ColumnCP[[#This Row],[Metric]],
SUBTOTAL(9,OFFSET(DataCP[Total Impressions],ROW(DataCP[Total Impressions])-MIN(ROW(DataCP[Total Impressions])),0,1)))))</f>
        <v>#DIV/0!</v>
      </c>
      <c r="L10" s="32" t="e">
        <f t="array" aca="1" ref="L10" ca="1">SUM(
IF(DataCP[See-Through Rate 
'[% Visible']]&lt;&gt;"NULL",
IF(DataCP[Device Type]=ColumnCP[[#This Row],[Metric]],
DataCP[See-Through Rate 
'[% Visible']]*
SUBTOTAL(9,OFFSET(DataCP[Total Impressions],ROW(DataCP[Total Impressions])-MIN(ROW(DataCP[Total Impressions])),0,1)))))
/
SUM(
IF(DataCP[See-Through Rate 
'[% Visible']]&lt;&gt;"NULL",
IF(DataCP[Device Type]=ColumnCP[[#This Row],[Metric]],
SUBTOTAL(9,OFFSET(DataCP[Total Impressions],ROW(DataCP[Total Impressions])-MIN(ROW(DataCP[Total Impressions])),0,1)))))</f>
        <v>#DIV/0!</v>
      </c>
      <c r="M10" s="32" t="e">
        <f t="array" aca="1" ref="M10" ca="1">SUM(
IF(DataCP[Brand Safety 
'[% Passed']]&lt;&gt;"NULL",
IF(DataCP[Device Type]=ColumnCP[[#This Row],[Metric]],
DataCP[Brand Safety 
'[% Passed']]*
SUBTOTAL(9,OFFSET(DataCP[Total Impressions],ROW(DataCP[Total Impressions])-MIN(ROW(DataCP[Total Impressions])),0,1)))))
/
SUM(
IF(DataCP[Brand Safety 
'[% Passed']]&lt;&gt;"NULL",
IF(DataCP[Device Type]=ColumnCP[[#This Row],[Metric]],
SUBTOTAL(9,OFFSET(DataCP[Total Impressions],ROW(DataCP[Total Impressions])-MIN(ROW(DataCP[Total Impressions])),0,1)))))</f>
        <v>#DIV/0!</v>
      </c>
      <c r="N10" s="32" t="e">
        <f t="array" aca="1" ref="N10" ca="1">SUM(
IF(DataCP[Brand Safety 
'[% Failed']]&lt;&gt;"NULL",
IF(DataCP[Device Type]=ColumnCP[[#This Row],[Metric]],
DataCP[Brand Safety 
'[% Failed']]*
SUBTOTAL(9,OFFSET(DataCP[Total Impressions],ROW(DataCP[Total Impressions])-MIN(ROW(DataCP[Total Impressions])),0,1)))))
/
SUM(
IF(DataCP[Brand Safety 
'[% Failed']]&lt;&gt;"NULL",
IF(DataCP[Device Type]=ColumnCP[[#This Row],[Metric]],
SUBTOTAL(9,OFFSET(DataCP[Total Impressions],ROW(DataCP[Total Impressions])-MIN(ROW(DataCP[Total Impressions])),0,1)))))</f>
        <v>#DIV/0!</v>
      </c>
      <c r="O10" s="32" t="e">
        <f t="array" aca="1" ref="O10" ca="1">SUM(
IF(DataCP[Brand Safety 
'[% Failed by Content']]&lt;&gt;"NULL",
IF(DataCP[Device Type]=ColumnCP[[#This Row],[Metric]],
DataCP[Brand Safety 
'[% Failed by Content']]*
SUBTOTAL(9,OFFSET(DataCP[Total Impressions],ROW(DataCP[Total Impressions])-MIN(ROW(DataCP[Total Impressions])),0,1)))))
/
SUM(
IF(DataCP[Brand Safety 
'[% Failed by Content']]&lt;&gt;"NULL",
IF(DataCP[Device Type]=ColumnCP[[#This Row],[Metric]],
SUBTOTAL(9,OFFSET(DataCP[Total Impressions],ROW(DataCP[Total Impressions])-MIN(ROW(DataCP[Total Impressions])),0,1)))))</f>
        <v>#DIV/0!</v>
      </c>
      <c r="P10" s="32" t="e">
        <f t="array" aca="1" ref="P10" ca="1">SUM(
IF(DataCP[Brand Safety 
'[% Failed by Geo']]&lt;&gt;"NULL",
IF(DataCP[Device Type]=ColumnCP[[#This Row],[Metric]],
DataCP[Brand Safety 
'[% Failed by Geo']]*
SUBTOTAL(9,OFFSET(DataCP[Total Impressions],ROW(DataCP[Total Impressions])-MIN(ROW(DataCP[Total Impressions])),0,1)))))
/
SUM(
IF(DataCP[Brand Safety 
'[% Failed by Geo']]&lt;&gt;"NULL",
IF(DataCP[Device Type]=ColumnCP[[#This Row],[Metric]],
SUBTOTAL(9,OFFSET(DataCP[Total Impressions],ROW(DataCP[Total Impressions])-MIN(ROW(DataCP[Total Impressions])),0,1)))))</f>
        <v>#DIV/0!</v>
      </c>
      <c r="Q10" s="32" t="e">
        <f t="array" aca="1" ref="Q10" ca="1">SUM(
IF(DataCP[Brand Safety 
'[% Failed by Keyword']]&lt;&gt;"NULL",
IF(DataCP[Device Type]=ColumnCP[[#This Row],[Metric]],
DataCP[Brand Safety 
'[% Failed by Keyword']]*
SUBTOTAL(9,OFFSET(DataCP[Total Impressions],ROW(DataCP[Total Impressions])-MIN(ROW(DataCP[Total Impressions])),0,1)))))
/
SUM(
IF(DataCP[Brand Safety 
'[% Failed by Keyword']]&lt;&gt;"NULL",
IF(DataCP[Device Type]=ColumnCP[[#This Row],[Metric]],
SUBTOTAL(9,OFFSET(DataCP[Total Impressions],ROW(DataCP[Total Impressions])-MIN(ROW(DataCP[Total Impressions])),0,1)))))</f>
        <v>#DIV/0!</v>
      </c>
      <c r="R10" s="32" t="e">
        <f t="array" aca="1" ref="R10" ca="1">SUM(
IF(DataCP[Brand Safety 
'[% Failed by Blacklist']]&lt;&gt;"NULL",
IF(DataCP[Device Type]=ColumnCP[[#This Row],[Metric]],
DataCP[Brand Safety 
'[% Failed by Blacklist']]*
SUBTOTAL(9,OFFSET(DataCP[Total Impressions],ROW(DataCP[Total Impressions])-MIN(ROW(DataCP[Total Impressions])),0,1)))))
/
SUM(
IF(DataCP[Brand Safety 
'[% Failed by Blacklist']]&lt;&gt;"NULL",
IF(DataCP[Device Type]=ColumnCP[[#This Row],[Metric]],
SUBTOTAL(9,OFFSET(DataCP[Total Impressions],ROW(DataCP[Total Impressions])-MIN(ROW(DataCP[Total Impressions])),0,1)))))</f>
        <v>#DIV/0!</v>
      </c>
      <c r="S10" s="32" t="e">
        <f t="array" aca="1" ref="S10" ca="1">SUM(
IF(DataCP[Brand Safety 
'[% Failed by Language']]&lt;&gt;"NULL",
IF(DataCP[Device Type]=ColumnCP[[#This Row],[Metric]],
DataCP[Brand Safety 
'[% Failed by Language']]*
SUBTOTAL(9,OFFSET(DataCP[Total Impressions],ROW(DataCP[Total Impressions])-MIN(ROW(DataCP[Total Impressions])),0,1)))))
/
SUM(
IF(DataCP[Brand Safety 
'[% Failed by Language']]&lt;&gt;"NULL",
IF(DataCP[Device Type]=ColumnCP[[#This Row],[Metric]],
SUBTOTAL(9,OFFSET(DataCP[Total Impressions],ROW(DataCP[Total Impressions])-MIN(ROW(DataCP[Total Impressions])),0,1)))))</f>
        <v>#DIV/0!</v>
      </c>
      <c r="T10" s="32" t="e">
        <f t="array" aca="1" ref="T10" ca="1">SUM(
IF(DataCP[Fraud 
'[% Fraud']]&lt;&gt;"NULL",
IF(DataCP[Device Type]=ColumnCP[[#This Row],[Metric]],
DataCP[Fraud 
'[% Fraud']]*
SUBTOTAL(9,OFFSET(DataCP[Total Impressions],ROW(DataCP[Total Impressions])-MIN(ROW(DataCP[Total Impressions])),0,1)))))
/
SUM(
IF(DataCP[Fraud 
'[% Fraud']]&lt;&gt;"NULL",
IF(DataCP[Device Type]=ColumnCP[[#This Row],[Metric]],
SUBTOTAL(9,OFFSET(DataCP[Total Impressions],ROW(DataCP[Total Impressions])-MIN(ROW(DataCP[Total Impressions])),0,1)))))</f>
        <v>#DIV/0!</v>
      </c>
      <c r="U10" s="32" t="e">
        <f t="array" aca="1" ref="U10" ca="1">SUM(
IF(DataCP[Viewability 
'[Total Viewable Rate (Total Net Metrics)']]&lt;&gt;"NULL",
IF(DataCP[Device Type]=ColumnCP[[#This Row],[Metric]],
DataCP[Viewability 
'[Total Viewable Rate (Total Net Metrics)']]*
SUBTOTAL(9,OFFSET(DataCP[Total Impressions],ROW(DataCP[Total Impressions])-MIN(ROW(DataCP[Total Impressions])),0,1)))))
/
SUM(
IF(DataCP[Viewability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V10" s="32" t="e">
        <f t="array" aca="1" ref="V10" ca="1">SUM(
IF(DataCP[Display Viewability 
'[Total Viewable Rate (Total Net Metrics)']]&lt;&gt;"NULL",
IF(DataCP[Device Type]=ColumnCP[[#This Row],[Metric]],
DataCP[Display Viewability 
'[Total Viewable Rate (Total Net Metrics)']]*
SUBTOTAL(9,OFFSET(DataCP[Total Impressions],ROW(DataCP[Total Impressions])-MIN(ROW(DataCP[Total Impressions])),0,1)))))
/
SUM(
IF(DataCP[Display 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W10" s="32" t="e">
        <f t="array" aca="1" ref="W10" ca="1">SUM(
IF(DataCP[Video Viewability 
'[Total Viewable Rate (Total Net Metrics)']]&lt;&gt;"NULL",
IF(DataCP[Device Type]=ColumnCP[[#This Row],[Metric]],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X10" s="32" t="e">
        <f t="array" aca="1" ref="X10" ca="1">SUM(
IF(DataCP[GroupM Viewability 
'[% Display Ads Fully in View']]&lt;&gt;"NULL",
IF(DataCP[Device Type]=ColumnCP[[#This Row],[Metric]],
DataCP[GroupM Viewability 
'[% Display Ads Fully in View']]*
SUBTOTAL(9,OFFSET(DataCP[Total Impressions],ROW(DataCP[Total Impressions])-MIN(ROW(DataCP[Total Impressions])),0,1)))))
/
SUM(
IF(DataCP[GroupM Viewability 
'[% Display Ads Fully in View']]&lt;&gt;"NULL",
IF(DataCP[Device Type]=ColumnCP[[#This Row],[Metric]],
SUBTOTAL(9,OFFSET(DataCP[Total Impressions],ROW(DataCP[Total Impressions])-MIN(ROW(DataCP[Total Impressions])),0,1)))))</f>
        <v>#DIV/0!</v>
      </c>
      <c r="Y10" s="32" t="e">
        <f t="array" aca="1" ref="Y10" ca="1">SUM(
IF(DataCP[GroupM Viewability 
'[% Videos Fully in View']]&lt;&gt;"NULL",
IF(DataCP[Device Type]=ColumnCP[[#This Row],[Metric]],
DataCP[GroupM Viewability 
'[% Videos Fully in View']]*
SUBTOTAL(9,OFFSET(DataCP[Total Impressions],ROW(DataCP[Total Impressions])-MIN(ROW(DataCP[Total Impressions])),0,1)))))
/
SUM(
IF(DataCP[GroupM Viewability 
'[% Videos Fully in View']]&lt;&gt;"NULL",
IF(DataCP[Device Type]=ColumnCP[[#This Row],[Metric]],
SUBTOTAL(9,OFFSET(DataCP[Total Impressions],ROW(DataCP[Total Impressions])-MIN(ROW(DataCP[Total Impressions])),0,1)))))</f>
        <v>#DIV/0!</v>
      </c>
      <c r="Z10" s="32" t="e">
        <f t="array" aca="1" ref="Z10" ca="1">SUM(
IF(DataCP[Publicis Viewability 
'[% Display Ads Fully in View']]&lt;&gt;"NULL",
IF(DataCP[Device Type]=ColumnCP[[#This Row],[Metric]],
DataCP[Publicis Viewability 
'[% Display Ads Fully in View']]*
SUBTOTAL(9,OFFSET(DataCP[Total Impressions],ROW(DataCP[Total Impressions])-MIN(ROW(DataCP[Total Impressions])),0,1)))))
/
SUM(
IF(DataCP[Publicis Viewability 
'[% Display Ads Fully in View']]&lt;&gt;"NULL",
IF(DataCP[Device Type]=ColumnCP[[#This Row],[Metric]],
SUBTOTAL(9,OFFSET(DataCP[Total Impressions],ROW(DataCP[Total Impressions])-MIN(ROW(DataCP[Total Impressions])),0,1)))))</f>
        <v>#DIV/0!</v>
      </c>
      <c r="AA10" s="32" t="e">
        <f t="array" aca="1" ref="AA10" ca="1">SUM(
IF(DataCP[Publicis Viewability 
'[% Videos Fully in View']]&lt;&gt;"NULL",
IF(DataCP[Device Type]=ColumnCP[[#This Row],[Metric]],
DataCP[Publicis Viewability 
'[% Videos Fully in View']]*
SUBTOTAL(9,OFFSET(DataCP[Total Impressions],ROW(DataCP[Total Impressions])-MIN(ROW(DataCP[Total Impressions])),0,1)))))
/
SUM(
IF(DataCP[Publicis Viewability 
'[% Videos Fully in View']]&lt;&gt;"NULL",
IF(DataCP[Device Type]=ColumnCP[[#This Row],[Metric]],
SUBTOTAL(9,OFFSET(DataCP[Total Impressions],ROW(DataCP[Total Impressions])-MIN(ROW(DataCP[Total Impressions])),0,1)))))</f>
        <v>#DIV/0!</v>
      </c>
      <c r="AB10" s="26"/>
    </row>
    <row r="11" spans="1:121" s="18" customFormat="1" ht="15" hidden="1" customHeight="1" x14ac:dyDescent="0.35">
      <c r="A11" s="238"/>
      <c r="B11" s="239"/>
      <c r="C11" s="239"/>
      <c r="D11" s="239"/>
      <c r="E11" s="58"/>
      <c r="F11" s="28"/>
      <c r="G11" s="116" t="s">
        <v>14</v>
      </c>
      <c r="H11" s="116"/>
      <c r="I11" s="27"/>
      <c r="J11" s="102" t="s">
        <v>140</v>
      </c>
      <c r="K11" s="31" t="e">
        <f t="array" aca="1" ref="K11" ca="1">SUM(
IF(DataCP[Measured Rate 
'[% Measured']]&lt;&gt;"NULL",
IF(DataCP[Brand]=ColumnCP[[#This Row],[Metric]],
DataCP[Measured Rate 
'[% Measured']]*
SUBTOTAL(9,OFFSET(DataCP[Total Impressions],ROW(DataCP[Total Impressions])-MIN(ROW(DataCP[Total Impressions])),0,1)))))
/
SUM(
IF(DataCP[Measured Rate 
'[% Measured']]&lt;&gt;"NULL",
IF(DataCP[Brand]=ColumnCP[[#This Row],[Metric]],
SUBTOTAL(9,OFFSET(DataCP[Total Impressions],ROW(DataCP[Total Impressions])-MIN(ROW(DataCP[Total Impressions])),0,1)))))</f>
        <v>#DIV/0!</v>
      </c>
      <c r="L11" s="32" t="e">
        <f t="array" aca="1" ref="L11" ca="1">SUM(
IF(DataCP[See-Through Rate 
'[% Visible']]&lt;&gt;"NULL",
IF(DataCP[Brand]=ColumnCP[[#This Row],[Metric]],
DataCP[See-Through Rate 
'[% Visible']]*
SUBTOTAL(9,OFFSET(DataCP[Total Impressions],ROW(DataCP[Total Impressions])-MIN(ROW(DataCP[Total Impressions])),0,1)))))
/
SUM(
IF(DataCP[See-Through Rate 
'[% Visible']]&lt;&gt;"NULL",
IF(DataCP[Brand]=ColumnCP[[#This Row],[Metric]],
SUBTOTAL(9,OFFSET(DataCP[Total Impressions],ROW(DataCP[Total Impressions])-MIN(ROW(DataCP[Total Impressions])),0,1)))))</f>
        <v>#DIV/0!</v>
      </c>
      <c r="M11" s="32" t="e">
        <f t="array" aca="1" ref="M11" ca="1">SUM(
IF(DataCP[Brand Safety 
'[% Passed']]&lt;&gt;"NULL",
IF(DataCP[Brand]=ColumnCP[[#This Row],[Metric]],
DataCP[Brand Safety 
'[% Passed']]*
SUBTOTAL(9,OFFSET(DataCP[Total Impressions],ROW(DataCP[Total Impressions])-MIN(ROW(DataCP[Total Impressions])),0,1)))))
/
SUM(
IF(DataCP[Brand Safety 
'[% Passed']]&lt;&gt;"NULL",
IF(DataCP[Brand]=ColumnCP[[#This Row],[Metric]],
SUBTOTAL(9,OFFSET(DataCP[Total Impressions],ROW(DataCP[Total Impressions])-MIN(ROW(DataCP[Total Impressions])),0,1)))))</f>
        <v>#DIV/0!</v>
      </c>
      <c r="N11" s="32" t="e">
        <f t="array" aca="1" ref="N11" ca="1">SUM(
IF(DataCP[Brand Safety 
'[% Failed']]&lt;&gt;"NULL",
IF(DataCP[Brand]=ColumnCP[[#This Row],[Metric]],
DataCP[Brand Safety 
'[% Failed']]*
SUBTOTAL(9,OFFSET(DataCP[Total Impressions],ROW(DataCP[Total Impressions])-MIN(ROW(DataCP[Total Impressions])),0,1)))))
/
SUM(
IF(DataCP[Brand Safety 
'[% Failed']]&lt;&gt;"NULL",
IF(DataCP[Brand]=ColumnCP[[#This Row],[Metric]],
SUBTOTAL(9,OFFSET(DataCP[Total Impressions],ROW(DataCP[Total Impressions])-MIN(ROW(DataCP[Total Impressions])),0,1)))))</f>
        <v>#DIV/0!</v>
      </c>
      <c r="O11" s="32" t="e">
        <f t="array" aca="1" ref="O11" ca="1">SUM(
IF(DataCP[Brand Safety 
'[% Failed by Content']]&lt;&gt;"NULL",
IF(DataCP[Brand]=ColumnCP[[#This Row],[Metric]],
DataCP[Brand Safety 
'[% Failed by Content']]*
SUBTOTAL(9,OFFSET(DataCP[Total Impressions],ROW(DataCP[Total Impressions])-MIN(ROW(DataCP[Total Impressions])),0,1)))))
/
SUM(
IF(DataCP[Brand Safety 
'[% Failed by Content']]&lt;&gt;"NULL",
IF(DataCP[Brand]=ColumnCP[[#This Row],[Metric]],
SUBTOTAL(9,OFFSET(DataCP[Total Impressions],ROW(DataCP[Total Impressions])-MIN(ROW(DataCP[Total Impressions])),0,1)))))</f>
        <v>#DIV/0!</v>
      </c>
      <c r="P11" s="32" t="e">
        <f t="array" aca="1" ref="P11" ca="1">SUM(
IF(DataCP[Brand Safety 
'[% Failed by Geo']]&lt;&gt;"NULL",
IF(DataCP[Brand]=ColumnCP[[#This Row],[Metric]],
DataCP[Brand Safety 
'[% Failed by Geo']]*
SUBTOTAL(9,OFFSET(DataCP[Total Impressions],ROW(DataCP[Total Impressions])-MIN(ROW(DataCP[Total Impressions])),0,1)))))
/
SUM(
IF(DataCP[Brand Safety 
'[% Failed by Geo']]&lt;&gt;"NULL",
IF(DataCP[Brand]=ColumnCP[[#This Row],[Metric]],
SUBTOTAL(9,OFFSET(DataCP[Total Impressions],ROW(DataCP[Total Impressions])-MIN(ROW(DataCP[Total Impressions])),0,1)))))</f>
        <v>#DIV/0!</v>
      </c>
      <c r="Q11" s="32" t="e">
        <f t="array" aca="1" ref="Q11" ca="1">SUM(
IF(DataCP[Brand Safety 
'[% Failed by Keyword']]&lt;&gt;"NULL",
IF(DataCP[Brand]=ColumnCP[[#This Row],[Metric]],
DataCP[Brand Safety 
'[% Failed by Keyword']]*
SUBTOTAL(9,OFFSET(DataCP[Total Impressions],ROW(DataCP[Total Impressions])-MIN(ROW(DataCP[Total Impressions])),0,1)))))
/
SUM(
IF(DataCP[Brand Safety 
'[% Failed by Keyword']]&lt;&gt;"NULL",
IF(DataCP[Brand]=ColumnCP[[#This Row],[Metric]],
SUBTOTAL(9,OFFSET(DataCP[Total Impressions],ROW(DataCP[Total Impressions])-MIN(ROW(DataCP[Total Impressions])),0,1)))))</f>
        <v>#DIV/0!</v>
      </c>
      <c r="R11" s="32" t="e">
        <f t="array" aca="1" ref="R11" ca="1">SUM(
IF(DataCP[Brand Safety 
'[% Failed by Blacklist']]&lt;&gt;"NULL",
IF(DataCP[Brand]=ColumnCP[[#This Row],[Metric]],
DataCP[Brand Safety 
'[% Failed by Blacklist']]*
SUBTOTAL(9,OFFSET(DataCP[Total Impressions],ROW(DataCP[Total Impressions])-MIN(ROW(DataCP[Total Impressions])),0,1)))))
/
SUM(
IF(DataCP[Brand Safety 
'[% Failed by Blacklist']]&lt;&gt;"NULL",
IF(DataCP[Brand]=ColumnCP[[#This Row],[Metric]],
SUBTOTAL(9,OFFSET(DataCP[Total Impressions],ROW(DataCP[Total Impressions])-MIN(ROW(DataCP[Total Impressions])),0,1)))))</f>
        <v>#DIV/0!</v>
      </c>
      <c r="S11" s="32" t="e">
        <f t="array" aca="1" ref="S11" ca="1">SUM(
IF(DataCP[Brand Safety 
'[% Failed by Language']]&lt;&gt;"NULL",
IF(DataCP[Brand]=ColumnCP[[#This Row],[Metric]],
DataCP[Brand Safety 
'[% Failed by Language']]*
SUBTOTAL(9,OFFSET(DataCP[Total Impressions],ROW(DataCP[Total Impressions])-MIN(ROW(DataCP[Total Impressions])),0,1)))))
/
SUM(
IF(DataCP[Brand Safety 
'[% Failed by Language']]&lt;&gt;"NULL",
IF(DataCP[Brand]=ColumnCP[[#This Row],[Metric]],
SUBTOTAL(9,OFFSET(DataCP[Total Impressions],ROW(DataCP[Total Impressions])-MIN(ROW(DataCP[Total Impressions])),0,1)))))</f>
        <v>#DIV/0!</v>
      </c>
      <c r="T11" s="32" t="e">
        <f t="array" aca="1" ref="T11" ca="1">SUM(
IF(DataCP[Fraud 
'[% Fraud']]&lt;&gt;"NULL",
IF(DataCP[Brand]=ColumnCP[[#This Row],[Metric]],
DataCP[Fraud 
'[% Fraud']]*
SUBTOTAL(9,OFFSET(DataCP[Total Impressions],ROW(DataCP[Total Impressions])-MIN(ROW(DataCP[Total Impressions])),0,1)))))
/
SUM(
IF(DataCP[Fraud 
'[% Fraud']]&lt;&gt;"NULL",
IF(DataCP[Brand]=ColumnCP[[#This Row],[Metric]],
SUBTOTAL(9,OFFSET(DataCP[Total Impressions],ROW(DataCP[Total Impressions])-MIN(ROW(DataCP[Total Impressions])),0,1)))))</f>
        <v>#DIV/0!</v>
      </c>
      <c r="U11" s="32" t="e">
        <f t="array" aca="1" ref="U11" ca="1">SUM(
IF(DataCP[Viewability 
'[Total Viewable Rate (Total Net Metrics)']]&lt;&gt;"NULL",
IF(DataCP[Brand]=ColumnCP[[#This Row],[Metric]],
DataCP[Viewability 
'[Total Viewable Rate (Total Net Metrics)']]*
SUBTOTAL(9,OFFSET(DataCP[Total Impressions],ROW(DataCP[Total Impressions])-MIN(ROW(DataCP[Total Impressions])),0,1)))))
/
SUM(
IF(DataCP[Viewability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V11" s="32" t="e">
        <f t="array" aca="1" ref="V11" ca="1">SUM(
IF(DataCP[Display Viewability 
'[Total Viewable Rate (Total Net Metrics)']]&lt;&gt;"NULL",
IF(DataCP[Brand]=ColumnCP[[#This Row],[Metric]],
DataCP[Display Viewability 
'[Total Viewable Rate (Total Net Metrics)']]*
SUBTOTAL(9,OFFSET(DataCP[Total Impressions],ROW(DataCP[Total Impressions])-MIN(ROW(DataCP[Total Impressions])),0,1)))))
/
SUM(
IF(DataCP[Display 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W11" s="32" t="e">
        <f t="array" aca="1" ref="W11" ca="1">SUM(
IF(DataCP[Video Viewability 
'[Total Viewable Rate (Total Net Metrics)']]&lt;&gt;"NULL",
IF(DataCP[Brand]=ColumnCP[[#This Row],[Metric]],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X11" s="32" t="e">
        <f t="array" aca="1" ref="X11" ca="1">SUM(
IF(DataCP[GroupM Viewability 
'[% Display Ads Fully in View']]&lt;&gt;"NULL",
IF(DataCP[Brand]=ColumnCP[[#This Row],[Metric]],
DataCP[GroupM Viewability 
'[% Display Ads Fully in View']]*
SUBTOTAL(9,OFFSET(DataCP[Total Impressions],ROW(DataCP[Total Impressions])-MIN(ROW(DataCP[Total Impressions])),0,1)))))
/
SUM(
IF(DataCP[GroupM Viewability 
'[% Display Ads Fully in View']]&lt;&gt;"NULL",
IF(DataCP[Brand]=ColumnCP[[#This Row],[Metric]],
SUBTOTAL(9,OFFSET(DataCP[Total Impressions],ROW(DataCP[Total Impressions])-MIN(ROW(DataCP[Total Impressions])),0,1)))))</f>
        <v>#DIV/0!</v>
      </c>
      <c r="Y11" s="32" t="e">
        <f t="array" aca="1" ref="Y11" ca="1">SUM(
IF(DataCP[GroupM Viewability 
'[% Videos Fully in View']]&lt;&gt;"NULL",
IF(DataCP[Brand]=ColumnCP[[#This Row],[Metric]],
DataCP[GroupM Viewability 
'[% Videos Fully in View']]*
SUBTOTAL(9,OFFSET(DataCP[Total Impressions],ROW(DataCP[Total Impressions])-MIN(ROW(DataCP[Total Impressions])),0,1)))))
/
SUM(
IF(DataCP[GroupM Viewability 
'[% Videos Fully in View']]&lt;&gt;"NULL",
IF(DataCP[Brand]=ColumnCP[[#This Row],[Metric]],
SUBTOTAL(9,OFFSET(DataCP[Total Impressions],ROW(DataCP[Total Impressions])-MIN(ROW(DataCP[Total Impressions])),0,1)))))</f>
        <v>#DIV/0!</v>
      </c>
      <c r="Z11" s="32" t="e">
        <f t="array" aca="1" ref="Z11" ca="1">SUM(
IF(DataCP[Publicis Viewability 
'[% Display Ads Fully in View']]&lt;&gt;"NULL",
IF(DataCP[Brand]=ColumnCP[[#This Row],[Metric]],
DataCP[Publicis Viewability 
'[% Display Ads Fully in View']]*
SUBTOTAL(9,OFFSET(DataCP[Total Impressions],ROW(DataCP[Total Impressions])-MIN(ROW(DataCP[Total Impressions])),0,1)))))
/
SUM(
IF(DataCP[Publicis Viewability 
'[% Display Ads Fully in View']]&lt;&gt;"NULL",
IF(DataCP[Brand]=ColumnCP[[#This Row],[Metric]],
SUBTOTAL(9,OFFSET(DataCP[Total Impressions],ROW(DataCP[Total Impressions])-MIN(ROW(DataCP[Total Impressions])),0,1)))))</f>
        <v>#DIV/0!</v>
      </c>
      <c r="AA11" s="32" t="e">
        <f t="array" aca="1" ref="AA11" ca="1">SUM(
IF(DataCP[Publicis Viewability 
'[% Videos Fully in View']]&lt;&gt;"NULL",
IF(DataCP[Brand]=ColumnCP[[#This Row],[Metric]],
DataCP[Publicis Viewability 
'[% Videos Fully in View']]*
SUBTOTAL(9,OFFSET(DataCP[Total Impressions],ROW(DataCP[Total Impressions])-MIN(ROW(DataCP[Total Impressions])),0,1)))))
/
SUM(
IF(DataCP[Publicis Viewability 
'[% Videos Fully in View']]&lt;&gt;"NULL",
IF(DataCP[Brand]=ColumnCP[[#This Row],[Metric]],
SUBTOTAL(9,OFFSET(DataCP[Total Impressions],ROW(DataCP[Total Impressions])-MIN(ROW(DataCP[Total Impressions])),0,1)))))</f>
        <v>#DIV/0!</v>
      </c>
      <c r="AB11" s="26"/>
    </row>
    <row r="12" spans="1:121" s="18" customFormat="1" ht="15" hidden="1" customHeight="1" x14ac:dyDescent="0.35">
      <c r="A12" s="236"/>
      <c r="B12" s="237"/>
      <c r="C12" s="237"/>
      <c r="D12" s="237"/>
      <c r="E12" s="58"/>
      <c r="F12" s="28"/>
      <c r="G12" s="228" t="s">
        <v>8</v>
      </c>
      <c r="H12" s="228"/>
      <c r="I12" s="27"/>
      <c r="J12" s="103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5.75" hidden="1" customHeight="1" x14ac:dyDescent="0.35">
      <c r="A13" s="22"/>
      <c r="B13" s="33"/>
      <c r="C13" s="33"/>
      <c r="D13" s="33"/>
      <c r="E13" s="58"/>
      <c r="F13" s="28"/>
      <c r="G13" s="228" t="s">
        <v>8</v>
      </c>
      <c r="H13" s="228"/>
      <c r="I13" s="2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  <c r="AB13" s="26"/>
    </row>
    <row r="14" spans="1:121" s="18" customFormat="1" ht="15.75" customHeight="1" thickBot="1" x14ac:dyDescent="0.4">
      <c r="B14" s="35"/>
      <c r="C14" s="22"/>
      <c r="D14" s="22"/>
      <c r="E14" s="55"/>
      <c r="F14" s="16"/>
      <c r="G14" s="13" t="s">
        <v>21</v>
      </c>
      <c r="H14" s="73"/>
      <c r="I14" s="73"/>
      <c r="J14" s="73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">
        <v>167</v>
      </c>
      <c r="C16" s="45" t="s">
        <v>168</v>
      </c>
      <c r="D16" s="46" t="s">
        <v>169</v>
      </c>
      <c r="E16" s="46" t="s">
        <v>170</v>
      </c>
      <c r="F16" s="46" t="s">
        <v>171</v>
      </c>
      <c r="G16" s="46" t="s">
        <v>172</v>
      </c>
      <c r="H16" s="46" t="s">
        <v>173</v>
      </c>
      <c r="I16" s="47" t="s">
        <v>174</v>
      </c>
      <c r="J16" s="48" t="s">
        <v>175</v>
      </c>
      <c r="K16" s="49" t="s">
        <v>176</v>
      </c>
      <c r="L16" s="49" t="s">
        <v>177</v>
      </c>
      <c r="M16" s="49" t="s">
        <v>178</v>
      </c>
      <c r="N16" s="49" t="s">
        <v>179</v>
      </c>
      <c r="O16" s="49" t="s">
        <v>180</v>
      </c>
      <c r="P16" s="49" t="s">
        <v>181</v>
      </c>
      <c r="Q16" s="49" t="s">
        <v>182</v>
      </c>
      <c r="R16" s="49" t="s">
        <v>183</v>
      </c>
      <c r="S16" s="49" t="s">
        <v>184</v>
      </c>
      <c r="T16" s="49" t="s">
        <v>185</v>
      </c>
      <c r="U16" s="49" t="s">
        <v>186</v>
      </c>
      <c r="V16" s="49" t="s">
        <v>187</v>
      </c>
      <c r="W16" s="49" t="s">
        <v>188</v>
      </c>
      <c r="X16" s="49" t="s">
        <v>189</v>
      </c>
      <c r="Y16" s="49" t="s">
        <v>190</v>
      </c>
      <c r="Z16" s="49" t="s">
        <v>191</v>
      </c>
      <c r="AA16" s="49" t="s">
        <v>192</v>
      </c>
    </row>
  </sheetData>
  <sheetProtection formatCells="0" insertColumns="0" insertRows="0" insertHyperlinks="0" deleteColumns="0" deleteRows="0" selectLockedCells="1" sort="0" autoFilter="0" pivotTables="0"/>
  <mergeCells count="11">
    <mergeCell ref="A12:D12"/>
    <mergeCell ref="G12:H12"/>
    <mergeCell ref="G13:H13"/>
    <mergeCell ref="B9:E9"/>
    <mergeCell ref="A10:D10"/>
    <mergeCell ref="A11:D11"/>
    <mergeCell ref="G6:H6"/>
    <mergeCell ref="G7:H7"/>
    <mergeCell ref="G8:H8"/>
    <mergeCell ref="D6:E6"/>
    <mergeCell ref="D8:E8"/>
  </mergeCells>
  <conditionalFormatting sqref="K16:AA16">
    <cfRule type="cellIs" dxfId="38" priority="9" operator="equal">
      <formula>""</formula>
    </cfRule>
  </conditionalFormatting>
  <conditionalFormatting sqref="A6:D8 A1:XFD5 A9:G9 F6:XFD6 E7:J7 F8:XFD8 I9:XFD9 AB7:XFD7 A10:XFD1048576">
    <cfRule type="expression" dxfId="37" priority="8">
      <formula>ISERROR(A1)</formula>
    </cfRule>
  </conditionalFormatting>
  <conditionalFormatting sqref="K16:AA16 K9:AA11">
    <cfRule type="expression" dxfId="36" priority="11">
      <formula>IF(K$7="N/A",0,IF(K$7="Above",K9&lt;=(1-$J$4)*K$8,K9&gt;=(1+$J$4)*K$8))</formula>
    </cfRule>
    <cfRule type="expression" dxfId="35" priority="12">
      <formula>IF(OR(K$7="N/A",K9=0),0,IF(K$7="Above",K9&gt;=(1+$J$3)*K$8,K9&lt;=(1-$J$3)*K$8))</formula>
    </cfRule>
  </conditionalFormatting>
  <conditionalFormatting sqref="H9">
    <cfRule type="expression" dxfId="34" priority="2">
      <formula>ISERROR(H9)</formula>
    </cfRule>
  </conditionalFormatting>
  <conditionalFormatting sqref="K7:AA7">
    <cfRule type="expression" dxfId="33" priority="1">
      <formula>ISERROR(K7)</formula>
    </cfRule>
  </conditionalFormatting>
  <dataValidations count="7">
    <dataValidation allowBlank="1" showInputMessage="1" showErrorMessage="1" errorTitle="Invalid Entry" error="Please select/enter a value from 1 to 5 from the dropdown." sqref="AB12:XFD13 K10:AA11 J11 G9:G11 J9 A13:D13 H9" xr:uid="{00000000-0002-0000-0300-000000000000}"/>
    <dataValidation type="list" allowBlank="1" showInputMessage="1" showErrorMessage="1" errorTitle="Invalid Entry" error="Please select/enter a value from 1 to 5 from the dropdown." sqref="J10" xr:uid="{00000000-0002-0000-03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3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3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300-000005000000}"/>
    <dataValidation allowBlank="1" showInputMessage="1" showErrorMessage="1" prompt="Cell will highlight red if performance deviates by more than this percentage of the client goal." sqref="J4" xr:uid="{00000000-0002-0000-0300-000006000000}"/>
    <dataValidation type="list" allowBlank="1" showInputMessage="1" showErrorMessage="1" sqref="B15" xr:uid="{00000000-0002-0000-0300-000007000000}">
      <formula1>"Brand, Region (Team), Region (Campaign), Partner Type"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FE530159-CB77-495A-99FE-9DA174ECD11C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60.54296875" style="50" hidden="1" customWidth="1"/>
    <col min="5" max="6" width="30.453125" style="50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3" t="s">
        <v>21</v>
      </c>
      <c r="E1" s="52"/>
      <c r="F1" s="52"/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6"/>
      <c r="E2" s="52"/>
      <c r="F2" s="52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6"/>
      <c r="E3" s="52"/>
      <c r="F3" s="52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6"/>
      <c r="E4" s="52"/>
      <c r="F4" s="52"/>
      <c r="G4" s="16"/>
      <c r="H4" s="11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6"/>
      <c r="E5" s="52"/>
      <c r="F5" s="52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7" t="s">
        <v>155</v>
      </c>
      <c r="C6" s="77"/>
      <c r="D6" s="70" t="s">
        <v>155</v>
      </c>
      <c r="E6" s="234" t="s">
        <v>155</v>
      </c>
      <c r="F6" s="234"/>
      <c r="G6" s="220" t="s">
        <v>133</v>
      </c>
      <c r="H6" s="221"/>
      <c r="I6" s="90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27"/>
      <c r="B7" s="28"/>
      <c r="C7" s="28"/>
      <c r="D7" s="28"/>
      <c r="E7" s="28"/>
      <c r="F7" s="60"/>
      <c r="G7" s="229" t="s">
        <v>132</v>
      </c>
      <c r="H7" s="230"/>
      <c r="I7" s="109"/>
      <c r="J7" s="12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</row>
    <row r="8" spans="1:121" s="18" customFormat="1" ht="15.75" customHeight="1" x14ac:dyDescent="0.35">
      <c r="A8" s="22"/>
      <c r="B8" s="70"/>
      <c r="C8" s="70"/>
      <c r="D8" s="70"/>
      <c r="E8" s="235" t="str">
        <f ca="1">MID(CELL("filename",A1),FIND("]",CELL("filename",A1))+1,255)&amp;" Level Scorecard"</f>
        <v>Partner &amp; Placement Level Scorecard</v>
      </c>
      <c r="F8" s="235"/>
      <c r="G8" s="240" t="s">
        <v>132</v>
      </c>
      <c r="H8" s="241"/>
      <c r="I8" s="129"/>
      <c r="J8" s="127" t="s">
        <v>16</v>
      </c>
      <c r="K8" s="128">
        <f>VLOOKUP(K6,Benchmark_Legend[],MATCH(ColumnPP[[#This Row],[Metric]],Benchmark_Legend[#Headers],0),0)</f>
        <v>0.7</v>
      </c>
      <c r="L8" s="128">
        <f>VLOOKUP(L6,Benchmark_Legend[],MATCH(ColumnPP[[#This Row],[Metric]],Benchmark_Legend[#Headers],0),0)</f>
        <v>0.98</v>
      </c>
      <c r="M8" s="128">
        <f>VLOOKUP(M6,Benchmark_Legend[],MATCH(ColumnPP[[#This Row],[Metric]],Benchmark_Legend[#Headers],0),0)</f>
        <v>0.95</v>
      </c>
      <c r="N8" s="128">
        <f>VLOOKUP(N6,Benchmark_Legend[],MATCH(ColumnPP[[#This Row],[Metric]],Benchmark_Legend[#Headers],0),0)</f>
        <v>0.05</v>
      </c>
      <c r="O8" s="128">
        <f>VLOOKUP(O6,Benchmark_Legend[],MATCH(ColumnPP[[#This Row],[Metric]],Benchmark_Legend[#Headers],0),0)</f>
        <v>0.02</v>
      </c>
      <c r="P8" s="128">
        <f>VLOOKUP(P6,Benchmark_Legend[],MATCH(ColumnPP[[#This Row],[Metric]],Benchmark_Legend[#Headers],0),0)</f>
        <v>0.02</v>
      </c>
      <c r="Q8" s="128">
        <f>VLOOKUP(Q6,Benchmark_Legend[],MATCH(ColumnPP[[#This Row],[Metric]],Benchmark_Legend[#Headers],0),0)</f>
        <v>0.01</v>
      </c>
      <c r="R8" s="128">
        <f>VLOOKUP(R6,Benchmark_Legend[],MATCH(ColumnPP[[#This Row],[Metric]],Benchmark_Legend[#Headers],0),0)</f>
        <v>0.01</v>
      </c>
      <c r="S8" s="128">
        <f>VLOOKUP(S6,Benchmark_Legend[],MATCH(ColumnPP[[#This Row],[Metric]],Benchmark_Legend[#Headers],0),0)</f>
        <v>0.01</v>
      </c>
      <c r="T8" s="128">
        <f>VLOOKUP(T6,Benchmark_Legend[],MATCH(ColumnPP[[#This Row],[Metric]],Benchmark_Legend[#Headers],0),0)</f>
        <v>0.03</v>
      </c>
      <c r="U8" s="128">
        <f>VLOOKUP(U6,Benchmark_Legend[],MATCH(ColumnPP[[#This Row],[Metric]],Benchmark_Legend[#Headers],0),0)</f>
        <v>0.55000000000000004</v>
      </c>
      <c r="V8" s="128">
        <f>VLOOKUP(V6,Benchmark_Legend[],MATCH(ColumnPP[[#This Row],[Metric]],Benchmark_Legend[#Headers],0),0)</f>
        <v>0.6</v>
      </c>
      <c r="W8" s="128">
        <f>VLOOKUP(W6,Benchmark_Legend[],MATCH(ColumnPP[[#This Row],[Metric]],Benchmark_Legend[#Headers],0),0)</f>
        <v>0.5</v>
      </c>
      <c r="X8" s="128">
        <f>VLOOKUP(X6,Benchmark_Legend[],MATCH(ColumnPP[[#This Row],[Metric]],Benchmark_Legend[#Headers],0),0)</f>
        <v>0.35</v>
      </c>
      <c r="Y8" s="128">
        <f>VLOOKUP(Y6,Benchmark_Legend[],MATCH(ColumnPP[[#This Row],[Metric]],Benchmark_Legend[#Headers],0),0)</f>
        <v>0.25</v>
      </c>
      <c r="Z8" s="128">
        <f>VLOOKUP(Z6,Benchmark_Legend[],MATCH(ColumnPP[[#This Row],[Metric]],Benchmark_Legend[#Headers],0),0)</f>
        <v>0.35</v>
      </c>
      <c r="AA8" s="128">
        <f>VLOOKUP(AA6,Benchmark_Legend[],MATCH(ColumnPP[[#This Row],[Metric]],Benchmark_Legend[#Headers],0),0)</f>
        <v>0.25</v>
      </c>
    </row>
    <row r="9" spans="1:121" s="18" customFormat="1" ht="15.75" customHeight="1" thickBot="1" x14ac:dyDescent="0.4">
      <c r="A9" s="22"/>
      <c r="B9" s="233" t="s">
        <v>154</v>
      </c>
      <c r="C9" s="233"/>
      <c r="D9" s="233"/>
      <c r="E9" s="233"/>
      <c r="F9" s="233"/>
      <c r="G9" s="121" t="s">
        <v>14</v>
      </c>
      <c r="H9" s="122" t="s">
        <v>14</v>
      </c>
      <c r="I9" s="110"/>
      <c r="J9" s="111" t="s">
        <v>130</v>
      </c>
      <c r="K9" s="100">
        <f t="array" aca="1" ref="K9" ca="1">SUM(
IF((DataPP[Measured Rate 
'[% Measured']]&lt;&gt;"NULL"),
DataPP[Measured Rate 
'[% Measured']]*
SUBTOTAL(9,OFFSET(DataPP[Total Impressions],ROW(DataPP[Total Impressions])-MIN(ROW(DataPP[Total Impressions])),0,1))))
/
SUM(
IF((DataPP[Measured Rate 
'[% Measured']]&lt;&gt;"NULL"),
SUBTOTAL(9,OFFSET(DataPP[Total Impressions],ROW(DataPP[Total Impressions])-MIN(ROW(DataPP[Total Impressions])),0,1))))</f>
        <v>0.7</v>
      </c>
      <c r="L9" s="100">
        <f t="array" aca="1" ref="L9" ca="1">SUM(
IF((DataPP[See-Through Rate 
'[% Visible']]&lt;&gt;"NULL"),
DataPP[See-Through Rate 
'[% Visible']]*
SUBTOTAL(9,OFFSET(DataPP[Total Impressions],ROW(DataPP[Total Impressions])-MIN(ROW(DataPP[Total Impressions])),0,1))))
/
SUM(
IF((DataPP[See-Through Rate 
'[% Visible']]&lt;&gt;"NULL"),
SUBTOTAL(9,OFFSET(DataPP[Total Impressions],ROW(DataPP[Total Impressions])-MIN(ROW(DataPP[Total Impressions])),0,1))))</f>
        <v>0.98</v>
      </c>
      <c r="M9" s="112">
        <f t="array" aca="1" ref="M9" ca="1">SUM(
IF((DataPP[Brand Safety 
'[% Passed']]&lt;&gt;"NULL"),
DataPP[Brand Safety 
'[% Passed']]*
SUBTOTAL(9,OFFSET(DataPP[Total Impressions],ROW(DataPP[Total Impressions])-MIN(ROW(DataPP[Total Impressions])),0,1))))
/
SUM(
IF((DataPP[Brand Safety 
'[% Passed']]&lt;&gt;"NULL"),
SUBTOTAL(9,OFFSET(DataPP[Total Impressions],ROW(DataPP[Total Impressions])-MIN(ROW(DataPP[Total Impressions])),0,1))))</f>
        <v>0.95</v>
      </c>
      <c r="N9" s="112">
        <f t="array" aca="1" ref="N9" ca="1">SUM(
IF((DataPP[Brand Safety 
'[% Failed']]&lt;&gt;"NULL"),
DataPP[Brand Safety 
'[% Failed']]*
SUBTOTAL(9,OFFSET(DataPP[Total Impressions],ROW(DataPP[Total Impressions])-MIN(ROW(DataPP[Total Impressions])),0,1))))
/
SUM(
IF((DataPP[Brand Safety 
'[% Failed']]&lt;&gt;"NULL"),
SUBTOTAL(9,OFFSET(DataPP[Total Impressions],ROW(DataPP[Total Impressions])-MIN(ROW(DataPP[Total Impressions])),0,1))))</f>
        <v>0.05</v>
      </c>
      <c r="O9" s="112">
        <f t="array" aca="1" ref="O9" ca="1">SUM(
IF((DataPP[Brand Safety 
'[% Failed by Content']]&lt;&gt;"NULL"),
DataPP[Brand Safety 
'[% Failed by Content']]*
SUBTOTAL(9,OFFSET(DataPP[Total Impressions],ROW(DataPP[Total Impressions])-MIN(ROW(DataPP[Total Impressions])),0,1))))
/
SUM(
IF((DataPP[Brand Safety 
'[% Failed by Content']]&lt;&gt;"NULL"),
SUBTOTAL(9,OFFSET(DataPP[Total Impressions],ROW(DataPP[Total Impressions])-MIN(ROW(DataPP[Total Impressions])),0,1))))</f>
        <v>0.02</v>
      </c>
      <c r="P9" s="112">
        <f t="array" aca="1" ref="P9" ca="1">SUM(
IF((DataPP[Brand Safety 
'[% Failed by Geo']]&lt;&gt;"NULL"),
DataPP[Brand Safety 
'[% Failed by Geo']]*
SUBTOTAL(9,OFFSET(DataPP[Total Impressions],ROW(DataPP[Total Impressions])-MIN(ROW(DataPP[Total Impressions])),0,1))))
/
SUM(
IF((DataPP[Brand Safety 
'[% Failed by Geo']]&lt;&gt;"NULL"),
SUBTOTAL(9,OFFSET(DataPP[Total Impressions],ROW(DataPP[Total Impressions])-MIN(ROW(DataPP[Total Impressions])),0,1))))</f>
        <v>0.02</v>
      </c>
      <c r="Q9" s="100">
        <f t="array" aca="1" ref="Q9" ca="1">SUM(
IF((DataPP[Brand Safety 
'[% Failed by Keyword']]&lt;&gt;"NULL"),
DataPP[Brand Safety 
'[% Failed by Keyword']]*
SUBTOTAL(9,OFFSET(DataPP[Total Impressions],ROW(DataPP[Total Impressions])-MIN(ROW(DataPP[Total Impressions])),0,1))))
/
SUM(
IF((DataPP[Brand Safety 
'[% Failed by Keyword']]&lt;&gt;"NULL"),
SUBTOTAL(9,OFFSET(DataPP[Total Impressions],ROW(DataPP[Total Impressions])-MIN(ROW(DataPP[Total Impressions])),0,1))))</f>
        <v>0.01</v>
      </c>
      <c r="R9" s="100">
        <f t="array" aca="1" ref="R9" ca="1">SUM(
IF((DataPP[Brand Safety 
'[% Failed by Blacklist']]&lt;&gt;"NULL"),
DataPP[Brand Safety 
'[% Failed by Blacklist']]*
SUBTOTAL(9,OFFSET(DataPP[Total Impressions],ROW(DataPP[Total Impressions])-MIN(ROW(DataPP[Total Impressions])),0,1))))
/
SUM(
IF((DataPP[Brand Safety 
'[% Failed by Blacklist']]&lt;&gt;"NULL"),
SUBTOTAL(9,OFFSET(DataPP[Total Impressions],ROW(DataPP[Total Impressions])-MIN(ROW(DataPP[Total Impressions])),0,1))))</f>
        <v>0.01</v>
      </c>
      <c r="S9" s="100">
        <f t="array" aca="1" ref="S9" ca="1">SUM(
IF((DataPP[Brand Safety 
'[% Failed by Language']]&lt;&gt;"NULL"),
DataPP[Brand Safety 
'[% Failed by Language']]*
SUBTOTAL(9,OFFSET(DataPP[Total Impressions],ROW(DataPP[Total Impressions])-MIN(ROW(DataPP[Total Impressions])),0,1))))
/
SUM(
IF((DataPP[Brand Safety 
'[% Failed by Language']]&lt;&gt;"NULL"),
SUBTOTAL(9,OFFSET(DataPP[Total Impressions],ROW(DataPP[Total Impressions])-MIN(ROW(DataPP[Total Impressions])),0,1))))</f>
        <v>0.01</v>
      </c>
      <c r="T9" s="100">
        <f t="array" aca="1" ref="T9" ca="1">SUM(
IF((DataPP[Fraud 
'[% Fraud']]&lt;&gt;"NULL"),
DataPP[Fraud 
'[% Fraud']]*
SUBTOTAL(9,OFFSET(DataPP[Total Impressions],ROW(DataPP[Total Impressions])-MIN(ROW(DataPP[Total Impressions])),0,1))))
/
SUM(
IF((DataPP[Fraud 
'[% Fraud']]&lt;&gt;"NULL"),
SUBTOTAL(9,OFFSET(DataPP[Total Impressions],ROW(DataPP[Total Impressions])-MIN(ROW(DataPP[Total Impressions])),0,1))))</f>
        <v>0.03</v>
      </c>
      <c r="U9" s="100">
        <f t="array" aca="1" ref="U9" ca="1">SUM(
IF((DataPP[Viewability 
'[Total Viewable Rate (Total Net Metrics)']]&lt;&gt;"NULL"),
DataPP[Viewability 
'[Total Viewable Rate (Total Net Metrics)']]*SUBTOTAL(9,OFFSET(DataPP[Measured Impressions],ROW(DataPP[Measured Impressions])-MIN(ROW(DataPP[Measured Impressions])),0,1))))
/
SUM(
IF((DataPP[Viewability 
'[Total Viewable Rate (Total Net Metrics)']]&lt;&gt;"NULL"),
SUBTOTAL(9,OFFSET(DataPP[Measured Impressions],ROW(DataPP[Measured Impressions])-MIN(ROW(DataPP[Measured Impressions])),0,1))))</f>
        <v>0.55000000000000004</v>
      </c>
      <c r="V9" s="100">
        <f t="array" aca="1" ref="V9" ca="1">SUM(
IF((DataPP[Display Viewability 
'[Total Viewable Rate (Total Net Metrics)']]&lt;&gt;"NULL"),
DataPP[Display Viewability 
'[Total Viewable Rate (Total Net Metrics)']]*SUBTOTAL(9,OFFSET(DataPP[Measured Impressions],ROW(DataPP[Measured Impressions])-MIN(ROW(DataPP[Measured Impressions])),0,1))))
/
SUM(
IF((DataPP[Display Viewability 
'[Total Viewable Rate (Total Net Metrics)']]&lt;&gt;"NULL"),
SUBTOTAL(9,OFFSET(DataPP[Measured Impressions],ROW(DataPP[Measured Impressions])-MIN(ROW(DataPP[Measured Impressions])),0,1))))</f>
        <v>0.6</v>
      </c>
      <c r="W9" s="112">
        <f t="array" aca="1" ref="W9" ca="1">SUM(
IF((DataPP[Video Viewability 
'[Total Viewable Rate (Total Net Metrics)']]&lt;&gt;"NULL"),
DataPP[Video Viewability 
'[Total Viewable Rate (Total Net Metrics)']]*SUBTOTAL(9,OFFSET(DataPP[Measured Impressions],ROW(DataPP[Measured Impressions])-MIN(ROW(DataPP[Measured Impressions])),0,1))))
/
SUM(
IF((DataPP[Video Viewability 
'[Total Viewable Rate (Total Net Metrics)']]&lt;&gt;"NULL"),
SUBTOTAL(9,OFFSET(DataPP[Measured Impressions],ROW(DataPP[Measured Impressions])-MIN(ROW(DataPP[Measured Impressions])),0,1))))</f>
        <v>0.5</v>
      </c>
      <c r="X9" s="100">
        <f t="array" aca="1" ref="X9" ca="1">SUM(
IF((DataPP[GroupM Viewability 
'[% Display Ads Fully in View']]&lt;&gt;"NULL"),
DataPP[GroupM Viewability 
'[% Display Ads Fully in View']]*SUBTOTAL(9,OFFSET(DataPP[Measured Impressions],ROW(DataPP[Measured Impressions])-MIN(ROW(DataPP[Measured Impressions])),0,1))))
/
SUM(
IF((DataPP[GroupM Viewability 
'[% Display Ads Fully in View']]&lt;&gt;"NULL"),
SUBTOTAL(9,OFFSET(DataPP[Measured Impressions],ROW(DataPP[Measured Impressions])-MIN(ROW(DataPP[Measured Impressions])),0,1))))</f>
        <v>0.35</v>
      </c>
      <c r="Y9" s="112">
        <f t="array" aca="1" ref="Y9" ca="1">SUM(
IF((DataPP[GroupM Viewability 
'[% Videos Fully in View']]&lt;&gt;"NULL"),
DataPP[GroupM Viewability 
'[% Videos Fully in View']]*SUBTOTAL(9,OFFSET(DataPP[Measured Impressions],ROW(DataPP[Measured Impressions])-MIN(ROW(DataPP[Measured Impressions])),0,1))))
/
SUM(
IF((DataPP[GroupM Viewability 
'[% Videos Fully in View']]&lt;&gt;"NULL"),
SUBTOTAL(9,OFFSET(DataPP[Measured Impressions],ROW(DataPP[Measured Impressions])-MIN(ROW(DataPP[Measured Impressions])),0,1))))</f>
        <v>0.25</v>
      </c>
      <c r="Z9" s="100">
        <f t="array" aca="1" ref="Z9" ca="1">SUM(
IF((DataPP[Publicis Viewability 
'[% Display Ads Fully in View']]&lt;&gt;"NULL"),
DataPP[Publicis Viewability 
'[% Display Ads Fully in View']]*SUBTOTAL(9,OFFSET(DataPP[Measured Impressions],ROW(DataPP[Measured Impressions])-MIN(ROW(DataPP[Measured Impressions])),0,1))))
/
SUM(
IF((DataPP[Publicis Viewability 
'[% Display Ads Fully in View']]&lt;&gt;"NULL"),
SUBTOTAL(9,OFFSET(DataPP[Measured Impressions],ROW(DataPP[Measured Impressions])-MIN(ROW(DataPP[Measured Impressions])),0,1))))</f>
        <v>0.35</v>
      </c>
      <c r="AA9" s="100">
        <f t="array" aca="1" ref="AA9" ca="1">SUM(
IF((DataPP[Publicis Viewability 
'[% Videos Fully in View']]&lt;&gt;"NULL"),
DataPP[Publicis Viewability 
'[% Videos Fully in View']]*SUBTOTAL(9,OFFSET(DataPP[Measured Impressions],ROW(DataPP[Measured Impressions])-MIN(ROW(DataPP[Measured Impressions])),0,1))))
/
SUM(
IF((DataPP[Publicis Viewability 
'[% Videos Fully in View']]&lt;&gt;"NULL"),
SUBTOTAL(9,OFFSET(DataPP[Measured Impressions],ROW(DataPP[Measured Impressions])-MIN(ROW(DataPP[Measured Impressions])),0,1))))</f>
        <v>0.25</v>
      </c>
    </row>
    <row r="10" spans="1:121" s="18" customFormat="1" ht="15.75" hidden="1" customHeight="1" x14ac:dyDescent="0.35">
      <c r="A10" s="236"/>
      <c r="B10" s="237"/>
      <c r="C10" s="237"/>
      <c r="D10" s="237"/>
      <c r="E10" s="60"/>
      <c r="F10" s="60"/>
      <c r="G10" s="124" t="s">
        <v>14</v>
      </c>
      <c r="H10" s="124"/>
      <c r="I10" s="27"/>
      <c r="J10" s="102" t="s">
        <v>126</v>
      </c>
      <c r="K10" s="31" t="e">
        <f t="array" aca="1" ref="K10" ca="1">SUM(
IF(DataPP[Measured Rate 
'[% Measured']]&lt;&gt;"NULL",
IF(DataPP[Device Type]=ColumnPP[[#This Row],[Metric]],
DataPP[Measured Rate 
'[% Measured']]*
SUBTOTAL(9,OFFSET(DataPP[Total Impressions],ROW(DataPP[Total Impressions])-MIN(ROW(DataPP[Total Impressions])),0,1)))))
/
SUM(
IF(DataPP[Measured Rate 
'[% Measured']]&lt;&gt;"NULL",
IF(DataPP[Device Type]=ColumnPP[[#This Row],[Metric]],
SUBTOTAL(9,OFFSET(DataPP[Total Impressions],ROW(DataPP[Total Impressions])-MIN(ROW(DataPP[Total Impressions])),0,1)))))</f>
        <v>#DIV/0!</v>
      </c>
      <c r="L10" s="32" t="e">
        <f t="array" aca="1" ref="L10" ca="1">SUM(
IF(DataPP[See-Through Rate 
'[% Visible']]&lt;&gt;"NULL",
IF(DataPP[Device Type]=ColumnPP[[#This Row],[Metric]],
DataPP[See-Through Rate 
'[% Visible']]*
SUBTOTAL(9,OFFSET(DataPP[Total Impressions],ROW(DataPP[Total Impressions])-MIN(ROW(DataPP[Total Impressions])),0,1)))))
/
SUM(
IF(DataPP[See-Through Rate 
'[% Visible']]&lt;&gt;"NULL",
IF(DataPP[Device Type]=ColumnPP[[#This Row],[Metric]],
SUBTOTAL(9,OFFSET(DataPP[Total Impressions],ROW(DataPP[Total Impressions])-MIN(ROW(DataPP[Total Impressions])),0,1)))))</f>
        <v>#DIV/0!</v>
      </c>
      <c r="M10" s="32" t="e">
        <f t="array" aca="1" ref="M10" ca="1">SUM(
IF(DataPP[Brand Safety 
'[% Passed']]&lt;&gt;"NULL",
IF(DataPP[Device Type]=ColumnPP[[#This Row],[Metric]],
DataPP[Brand Safety 
'[% Passed']]*
SUBTOTAL(9,OFFSET(DataPP[Total Impressions],ROW(DataPP[Total Impressions])-MIN(ROW(DataPP[Total Impressions])),0,1)))))
/
SUM(
IF(DataPP[Brand Safety 
'[% Passed']]&lt;&gt;"NULL",
IF(DataPP[Device Type]=ColumnPP[[#This Row],[Metric]],
SUBTOTAL(9,OFFSET(DataPP[Total Impressions],ROW(DataPP[Total Impressions])-MIN(ROW(DataPP[Total Impressions])),0,1)))))</f>
        <v>#DIV/0!</v>
      </c>
      <c r="N10" s="32" t="e">
        <f t="array" aca="1" ref="N10" ca="1">SUM(
IF(DataPP[Brand Safety 
'[% Failed']]&lt;&gt;"NULL",
IF(DataPP[Device Type]=ColumnPP[[#This Row],[Metric]],
DataPP[Brand Safety 
'[% Failed']]*
SUBTOTAL(9,OFFSET(DataPP[Total Impressions],ROW(DataPP[Total Impressions])-MIN(ROW(DataPP[Total Impressions])),0,1)))))
/
SUM(
IF(DataPP[Brand Safety 
'[% Failed']]&lt;&gt;"NULL",
IF(DataPP[Device Type]=ColumnPP[[#This Row],[Metric]],
SUBTOTAL(9,OFFSET(DataPP[Total Impressions],ROW(DataPP[Total Impressions])-MIN(ROW(DataPP[Total Impressions])),0,1)))))</f>
        <v>#DIV/0!</v>
      </c>
      <c r="O10" s="32" t="e">
        <f t="array" aca="1" ref="O10" ca="1">SUM(
IF(DataPP[Brand Safety 
'[% Failed by Content']]&lt;&gt;"NULL",
IF(DataPP[Device Type]=ColumnPP[[#This Row],[Metric]],
DataPP[Brand Safety 
'[% Failed by Content']]*
SUBTOTAL(9,OFFSET(DataPP[Total Impressions],ROW(DataPP[Total Impressions])-MIN(ROW(DataPP[Total Impressions])),0,1)))))
/
SUM(
IF(DataPP[Brand Safety 
'[% Failed by Content']]&lt;&gt;"NULL",
IF(DataPP[Device Type]=ColumnPP[[#This Row],[Metric]],
SUBTOTAL(9,OFFSET(DataPP[Total Impressions],ROW(DataPP[Total Impressions])-MIN(ROW(DataPP[Total Impressions])),0,1)))))</f>
        <v>#DIV/0!</v>
      </c>
      <c r="P10" s="32" t="e">
        <f t="array" aca="1" ref="P10" ca="1">SUM(
IF(DataPP[Brand Safety 
'[% Failed by Geo']]&lt;&gt;"NULL",
IF(DataPP[Device Type]=ColumnPP[[#This Row],[Metric]],
DataPP[Brand Safety 
'[% Failed by Geo']]*
SUBTOTAL(9,OFFSET(DataPP[Total Impressions],ROW(DataPP[Total Impressions])-MIN(ROW(DataPP[Total Impressions])),0,1)))))
/
SUM(
IF(DataPP[Brand Safety 
'[% Failed by Geo']]&lt;&gt;"NULL",
IF(DataPP[Device Type]=ColumnPP[[#This Row],[Metric]],
SUBTOTAL(9,OFFSET(DataPP[Total Impressions],ROW(DataPP[Total Impressions])-MIN(ROW(DataPP[Total Impressions])),0,1)))))</f>
        <v>#DIV/0!</v>
      </c>
      <c r="Q10" s="32" t="e">
        <f t="array" aca="1" ref="Q10" ca="1">SUM(
IF(DataPP[Brand Safety 
'[% Failed by Keyword']]&lt;&gt;"NULL",
IF(DataPP[Device Type]=ColumnPP[[#This Row],[Metric]],
DataPP[Brand Safety 
'[% Failed by Keyword']]*
SUBTOTAL(9,OFFSET(DataPP[Total Impressions],ROW(DataPP[Total Impressions])-MIN(ROW(DataPP[Total Impressions])),0,1)))))
/
SUM(
IF(DataPP[Brand Safety 
'[% Failed by Keyword']]&lt;&gt;"NULL",
IF(DataPP[Device Type]=ColumnPP[[#This Row],[Metric]],
SUBTOTAL(9,OFFSET(DataPP[Total Impressions],ROW(DataPP[Total Impressions])-MIN(ROW(DataPP[Total Impressions])),0,1)))))</f>
        <v>#DIV/0!</v>
      </c>
      <c r="R10" s="32" t="e">
        <f t="array" aca="1" ref="R10" ca="1">SUM(
IF(DataPP[Brand Safety 
'[% Failed by Blacklist']]&lt;&gt;"NULL",
IF(DataPP[Device Type]=ColumnPP[[#This Row],[Metric]],
DataPP[Brand Safety 
'[% Failed by Blacklist']]*
SUBTOTAL(9,OFFSET(DataPP[Total Impressions],ROW(DataPP[Total Impressions])-MIN(ROW(DataPP[Total Impressions])),0,1)))))
/
SUM(
IF(DataPP[Brand Safety 
'[% Failed by Blacklist']]&lt;&gt;"NULL",
IF(DataPP[Device Type]=ColumnPP[[#This Row],[Metric]],
SUBTOTAL(9,OFFSET(DataPP[Total Impressions],ROW(DataPP[Total Impressions])-MIN(ROW(DataPP[Total Impressions])),0,1)))))</f>
        <v>#DIV/0!</v>
      </c>
      <c r="S10" s="32" t="e">
        <f t="array" aca="1" ref="S10" ca="1">SUM(
IF(DataPP[Brand Safety 
'[% Failed by Language']]&lt;&gt;"NULL",
IF(DataPP[Device Type]=ColumnPP[[#This Row],[Metric]],
DataPP[Brand Safety 
'[% Failed by Language']]*
SUBTOTAL(9,OFFSET(DataPP[Total Impressions],ROW(DataPP[Total Impressions])-MIN(ROW(DataPP[Total Impressions])),0,1)))))
/
SUM(
IF(DataPP[Brand Safety 
'[% Failed by Language']]&lt;&gt;"NULL",
IF(DataPP[Device Type]=ColumnPP[[#This Row],[Metric]],
SUBTOTAL(9,OFFSET(DataPP[Total Impressions],ROW(DataPP[Total Impressions])-MIN(ROW(DataPP[Total Impressions])),0,1)))))</f>
        <v>#DIV/0!</v>
      </c>
      <c r="T10" s="32" t="e">
        <f t="array" aca="1" ref="T10" ca="1">SUM(
IF(DataPP[Fraud 
'[% Fraud']]&lt;&gt;"NULL",
IF(DataPP[Device Type]=ColumnPP[[#This Row],[Metric]],
DataPP[Fraud 
'[% Fraud']]*
SUBTOTAL(9,OFFSET(DataPP[Total Impressions],ROW(DataPP[Total Impressions])-MIN(ROW(DataPP[Total Impressions])),0,1)))))
/
SUM(
IF(DataPP[Fraud 
'[% Fraud']]&lt;&gt;"NULL",
IF(DataPP[Device Type]=ColumnPP[[#This Row],[Metric]],
SUBTOTAL(9,OFFSET(DataPP[Total Impressions],ROW(DataPP[Total Impressions])-MIN(ROW(DataPP[Total Impressions])),0,1)))))</f>
        <v>#DIV/0!</v>
      </c>
      <c r="U10" s="32" t="e">
        <f t="array" aca="1" ref="U10" ca="1">SUM(
IF(DataPP[Viewability 
'[Total Viewable Rate (Total Net Metrics)']]&lt;&gt;"NULL",
IF(DataPP[Device Type]=ColumnPP[[#This Row],[Metric]],
DataPP[Viewability 
'[Total Viewable Rate (Total Net Metrics)']]*
SUBTOTAL(9,OFFSET(DataPP[Total Impressions],ROW(DataPP[Total Impressions])-MIN(ROW(DataPP[Total Impressions])),0,1)))))
/
SUM(
IF(DataPP[Viewability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V10" s="32" t="e">
        <f t="array" aca="1" ref="V10" ca="1">SUM(
IF(DataPP[Display Viewability 
'[Total Viewable Rate (Total Net Metrics)']]&lt;&gt;"NULL",
IF(DataPP[Device Type]=ColumnPP[[#This Row],[Metric]],
DataPP[Display Viewability 
'[Total Viewable Rate (Total Net Metrics)']]*
SUBTOTAL(9,OFFSET(DataPP[Total Impressions],ROW(DataPP[Total Impressions])-MIN(ROW(DataPP[Total Impressions])),0,1)))))
/
SUM(
IF(DataPP[Display 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W10" s="32" t="e">
        <f t="array" aca="1" ref="W10" ca="1">SUM(
IF(DataPP[Video Viewability 
'[Total Viewable Rate (Total Net Metrics)']]&lt;&gt;"NULL",
IF(DataPP[Device Type]=ColumnPP[[#This Row],[Metric]],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X10" s="32" t="e">
        <f t="array" aca="1" ref="X10" ca="1">SUM(
IF(DataPP[GroupM Viewability 
'[% Display Ads Fully in View']]&lt;&gt;"NULL",
IF(DataPP[Device Type]=ColumnPP[[#This Row],[Metric]],
DataPP[GroupM Viewability 
'[% Display Ads Fully in View']]*
SUBTOTAL(9,OFFSET(DataPP[Total Impressions],ROW(DataPP[Total Impressions])-MIN(ROW(DataPP[Total Impressions])),0,1)))))
/
SUM(
IF(DataPP[GroupM Viewability 
'[% Display Ads Fully in View']]&lt;&gt;"NULL",
IF(DataPP[Device Type]=ColumnPP[[#This Row],[Metric]],
SUBTOTAL(9,OFFSET(DataPP[Total Impressions],ROW(DataPP[Total Impressions])-MIN(ROW(DataPP[Total Impressions])),0,1)))))</f>
        <v>#DIV/0!</v>
      </c>
      <c r="Y10" s="32" t="e">
        <f t="array" aca="1" ref="Y10" ca="1">SUM(
IF(DataPP[GroupM Viewability 
'[% Videos Fully in View']]&lt;&gt;"NULL",
IF(DataPP[Device Type]=ColumnPP[[#This Row],[Metric]],
DataPP[GroupM Viewability 
'[% Videos Fully in View']]*
SUBTOTAL(9,OFFSET(DataPP[Total Impressions],ROW(DataPP[Total Impressions])-MIN(ROW(DataPP[Total Impressions])),0,1)))))
/
SUM(
IF(DataPP[GroupM Viewability 
'[% Videos Fully in View']]&lt;&gt;"NULL",
IF(DataPP[Device Type]=ColumnPP[[#This Row],[Metric]],
SUBTOTAL(9,OFFSET(DataPP[Total Impressions],ROW(DataPP[Total Impressions])-MIN(ROW(DataPP[Total Impressions])),0,1)))))</f>
        <v>#DIV/0!</v>
      </c>
      <c r="Z10" s="32" t="e">
        <f t="array" aca="1" ref="Z10" ca="1">SUM(
IF(DataPP[Publicis Viewability 
'[% Display Ads Fully in View']]&lt;&gt;"NULL",
IF(DataPP[Device Type]=ColumnPP[[#This Row],[Metric]],
DataPP[Publicis Viewability 
'[% Display Ads Fully in View']]*
SUBTOTAL(9,OFFSET(DataPP[Total Impressions],ROW(DataPP[Total Impressions])-MIN(ROW(DataPP[Total Impressions])),0,1)))))
/
SUM(
IF(DataPP[Publicis Viewability 
'[% Display Ads Fully in View']]&lt;&gt;"NULL",
IF(DataPP[Device Type]=ColumnPP[[#This Row],[Metric]],
SUBTOTAL(9,OFFSET(DataPP[Total Impressions],ROW(DataPP[Total Impressions])-MIN(ROW(DataPP[Total Impressions])),0,1)))))</f>
        <v>#DIV/0!</v>
      </c>
      <c r="AA10" s="32" t="e">
        <f t="array" aca="1" ref="AA10" ca="1">SUM(
IF(DataPP[Publicis Viewability 
'[% Videos Fully in View']]&lt;&gt;"NULL",
IF(DataPP[Device Type]=ColumnPP[[#This Row],[Metric]],
DataPP[Publicis Viewability 
'[% Videos Fully in View']]*
SUBTOTAL(9,OFFSET(DataPP[Total Impressions],ROW(DataPP[Total Impressions])-MIN(ROW(DataPP[Total Impressions])),0,1)))))
/
SUM(
IF(DataPP[Publicis Viewability 
'[% Videos Fully in View']]&lt;&gt;"NULL",
IF(DataPP[Device Type]=ColumnPP[[#This Row],[Metric]],
SUBTOTAL(9,OFFSET(DataPP[Total Impressions],ROW(DataPP[Total Impressions])-MIN(ROW(DataPP[Total Impressions])),0,1)))))</f>
        <v>#DIV/0!</v>
      </c>
    </row>
    <row r="11" spans="1:121" s="18" customFormat="1" ht="16.5" hidden="1" customHeight="1" x14ac:dyDescent="0.35">
      <c r="A11" s="238"/>
      <c r="B11" s="239"/>
      <c r="C11" s="239"/>
      <c r="D11" s="239"/>
      <c r="E11" s="59"/>
      <c r="F11" s="59"/>
      <c r="G11" s="124" t="s">
        <v>14</v>
      </c>
      <c r="H11" s="124"/>
      <c r="I11" s="27"/>
      <c r="J11" s="102" t="s">
        <v>140</v>
      </c>
      <c r="K11" s="31" t="e">
        <f t="array" aca="1" ref="K11" ca="1">SUM(
IF(DataPP[Measured Rate 
'[% Measured']]&lt;&gt;"NULL",
IF(DataPP[Partner Type]=ColumnPP[[#This Row],[Metric]],
DataPP[Measured Rate 
'[% Measured']]*
SUBTOTAL(9,OFFSET(DataPP[Total Impressions],ROW(DataPP[Total Impressions])-MIN(ROW(DataPP[Total Impressions])),0,1)))))
/
SUM(
IF(DataPP[Measured Rate 
'[% Measured']]&lt;&gt;"NULL",
IF(DataPP[Partner Type]=ColumnPP[[#This Row],[Metric]],
SUBTOTAL(9,OFFSET(DataPP[Total Impressions],ROW(DataPP[Total Impressions])-MIN(ROW(DataPP[Total Impressions])),0,1)))))</f>
        <v>#DIV/0!</v>
      </c>
      <c r="L11" s="32" t="e">
        <f t="array" aca="1" ref="L11" ca="1">SUM(
IF(DataPP[See-Through Rate 
'[% Visible']]&lt;&gt;"NULL",
IF(DataPP[Partner Type]=ColumnPP[[#This Row],[Metric]],
DataPP[See-Through Rate 
'[% Visible']]*
SUBTOTAL(9,OFFSET(DataPP[Total Impressions],ROW(DataPP[Total Impressions])-MIN(ROW(DataPP[Total Impressions])),0,1)))))
/
SUM(
IF(DataPP[See-Through Rate 
'[% Visible']]&lt;&gt;"NULL",
IF(DataPP[Partner Type]=ColumnPP[[#This Row],[Metric]],
SUBTOTAL(9,OFFSET(DataPP[Total Impressions],ROW(DataPP[Total Impressions])-MIN(ROW(DataPP[Total Impressions])),0,1)))))</f>
        <v>#DIV/0!</v>
      </c>
      <c r="M11" s="32" t="e">
        <f t="array" aca="1" ref="M11" ca="1">SUM(
IF(DataPP[Brand Safety 
'[% Passed']]&lt;&gt;"NULL",
IF(DataPP[Partner Type]=ColumnPP[[#This Row],[Metric]],
DataPP[Brand Safety 
'[% Passed']]*
SUBTOTAL(9,OFFSET(DataPP[Total Impressions],ROW(DataPP[Total Impressions])-MIN(ROW(DataPP[Total Impressions])),0,1)))))
/
SUM(
IF(DataPP[Brand Safety 
'[% Passed']]&lt;&gt;"NULL",
IF(DataPP[Partner Type]=ColumnPP[[#This Row],[Metric]],
SUBTOTAL(9,OFFSET(DataPP[Total Impressions],ROW(DataPP[Total Impressions])-MIN(ROW(DataPP[Total Impressions])),0,1)))))</f>
        <v>#DIV/0!</v>
      </c>
      <c r="N11" s="32" t="e">
        <f t="array" aca="1" ref="N11" ca="1">SUM(
IF(DataPP[Brand Safety 
'[% Failed']]&lt;&gt;"NULL",
IF(DataPP[Partner Type]=ColumnPP[[#This Row],[Metric]],
DataPP[Brand Safety 
'[% Failed']]*
SUBTOTAL(9,OFFSET(DataPP[Total Impressions],ROW(DataPP[Total Impressions])-MIN(ROW(DataPP[Total Impressions])),0,1)))))
/
SUM(
IF(DataPP[Brand Safety 
'[% Failed']]&lt;&gt;"NULL",
IF(DataPP[Partner Type]=ColumnPP[[#This Row],[Metric]],
SUBTOTAL(9,OFFSET(DataPP[Total Impressions],ROW(DataPP[Total Impressions])-MIN(ROW(DataPP[Total Impressions])),0,1)))))</f>
        <v>#DIV/0!</v>
      </c>
      <c r="O11" s="32" t="e">
        <f t="array" aca="1" ref="O11" ca="1">SUM(
IF(DataPP[Brand Safety 
'[% Failed by Content']]&lt;&gt;"NULL",
IF(DataPP[Partner Type]=ColumnPP[[#This Row],[Metric]],
DataPP[Brand Safety 
'[% Failed by Content']]*
SUBTOTAL(9,OFFSET(DataPP[Total Impressions],ROW(DataPP[Total Impressions])-MIN(ROW(DataPP[Total Impressions])),0,1)))))
/
SUM(
IF(DataPP[Brand Safety 
'[% Failed by Content']]&lt;&gt;"NULL",
IF(DataPP[Partner Type]=ColumnPP[[#This Row],[Metric]],
SUBTOTAL(9,OFFSET(DataPP[Total Impressions],ROW(DataPP[Total Impressions])-MIN(ROW(DataPP[Total Impressions])),0,1)))))</f>
        <v>#DIV/0!</v>
      </c>
      <c r="P11" s="32" t="e">
        <f t="array" aca="1" ref="P11" ca="1">SUM(
IF(DataPP[Brand Safety 
'[% Failed by Geo']]&lt;&gt;"NULL",
IF(DataPP[Partner Type]=ColumnPP[[#This Row],[Metric]],
DataPP[Brand Safety 
'[% Failed by Geo']]*
SUBTOTAL(9,OFFSET(DataPP[Total Impressions],ROW(DataPP[Total Impressions])-MIN(ROW(DataPP[Total Impressions])),0,1)))))
/
SUM(
IF(DataPP[Brand Safety 
'[% Failed by Geo']]&lt;&gt;"NULL",
IF(DataPP[Partner Type]=ColumnPP[[#This Row],[Metric]],
SUBTOTAL(9,OFFSET(DataPP[Total Impressions],ROW(DataPP[Total Impressions])-MIN(ROW(DataPP[Total Impressions])),0,1)))))</f>
        <v>#DIV/0!</v>
      </c>
      <c r="Q11" s="32" t="e">
        <f t="array" aca="1" ref="Q11" ca="1">SUM(
IF(DataPP[Brand Safety 
'[% Failed by Keyword']]&lt;&gt;"NULL",
IF(DataPP[Partner Type]=ColumnPP[[#This Row],[Metric]],
DataPP[Brand Safety 
'[% Failed by Keyword']]*
SUBTOTAL(9,OFFSET(DataPP[Total Impressions],ROW(DataPP[Total Impressions])-MIN(ROW(DataPP[Total Impressions])),0,1)))))
/
SUM(
IF(DataPP[Brand Safety 
'[% Failed by Keyword']]&lt;&gt;"NULL",
IF(DataPP[Partner Type]=ColumnPP[[#This Row],[Metric]],
SUBTOTAL(9,OFFSET(DataPP[Total Impressions],ROW(DataPP[Total Impressions])-MIN(ROW(DataPP[Total Impressions])),0,1)))))</f>
        <v>#DIV/0!</v>
      </c>
      <c r="R11" s="32" t="e">
        <f t="array" aca="1" ref="R11" ca="1">SUM(
IF(DataPP[Brand Safety 
'[% Failed by Blacklist']]&lt;&gt;"NULL",
IF(DataPP[Partner Type]=ColumnPP[[#This Row],[Metric]],
DataPP[Brand Safety 
'[% Failed by Blacklist']]*
SUBTOTAL(9,OFFSET(DataPP[Total Impressions],ROW(DataPP[Total Impressions])-MIN(ROW(DataPP[Total Impressions])),0,1)))))
/
SUM(
IF(DataPP[Brand Safety 
'[% Failed by Blacklist']]&lt;&gt;"NULL",
IF(DataPP[Partner Type]=ColumnPP[[#This Row],[Metric]],
SUBTOTAL(9,OFFSET(DataPP[Total Impressions],ROW(DataPP[Total Impressions])-MIN(ROW(DataPP[Total Impressions])),0,1)))))</f>
        <v>#DIV/0!</v>
      </c>
      <c r="S11" s="32" t="e">
        <f t="array" aca="1" ref="S11" ca="1">SUM(
IF(DataPP[Brand Safety 
'[% Failed by Language']]&lt;&gt;"NULL",
IF(DataPP[Partner Type]=ColumnPP[[#This Row],[Metric]],
DataPP[Brand Safety 
'[% Failed by Language']]*
SUBTOTAL(9,OFFSET(DataPP[Total Impressions],ROW(DataPP[Total Impressions])-MIN(ROW(DataPP[Total Impressions])),0,1)))))
/
SUM(
IF(DataPP[Brand Safety 
'[% Failed by Language']]&lt;&gt;"NULL",
IF(DataPP[Partner Type]=ColumnPP[[#This Row],[Metric]],
SUBTOTAL(9,OFFSET(DataPP[Total Impressions],ROW(DataPP[Total Impressions])-MIN(ROW(DataPP[Total Impressions])),0,1)))))</f>
        <v>#DIV/0!</v>
      </c>
      <c r="T11" s="32" t="e">
        <f t="array" aca="1" ref="T11" ca="1">SUM(
IF(DataPP[Fraud 
'[% Fraud']]&lt;&gt;"NULL",
IF(DataPP[Partner Type]=ColumnPP[[#This Row],[Metric]],
DataPP[Fraud 
'[% Fraud']]*
SUBTOTAL(9,OFFSET(DataPP[Total Impressions],ROW(DataPP[Total Impressions])-MIN(ROW(DataPP[Total Impressions])),0,1)))))
/
SUM(
IF(DataPP[Fraud 
'[% Fraud']]&lt;&gt;"NULL",
IF(DataPP[Partner Type]=ColumnPP[[#This Row],[Metric]],
SUBTOTAL(9,OFFSET(DataPP[Total Impressions],ROW(DataPP[Total Impressions])-MIN(ROW(DataPP[Total Impressions])),0,1)))))</f>
        <v>#DIV/0!</v>
      </c>
      <c r="U11" s="32" t="e">
        <f t="array" aca="1" ref="U11" ca="1">SUM(
IF(DataPP[Viewability 
'[Total Viewable Rate (Total Net Metrics)']]&lt;&gt;"NULL",
IF(DataPP[Partner Type]=ColumnPP[[#This Row],[Metric]],
DataPP[Viewability 
'[Total Viewable Rate (Total Net Metrics)']]*
SUBTOTAL(9,OFFSET(DataPP[Total Impressions],ROW(DataPP[Total Impressions])-MIN(ROW(DataPP[Total Impressions])),0,1)))))
/
SUM(
IF(DataPP[Viewability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V11" s="32" t="e">
        <f t="array" aca="1" ref="V11" ca="1">SUM(
IF(DataPP[Display Viewability 
'[Total Viewable Rate (Total Net Metrics)']]&lt;&gt;"NULL",
IF(DataPP[Partner Type]=ColumnPP[[#This Row],[Metric]],
DataPP[Display Viewability 
'[Total Viewable Rate (Total Net Metrics)']]*
SUBTOTAL(9,OFFSET(DataPP[Total Impressions],ROW(DataPP[Total Impressions])-MIN(ROW(DataPP[Total Impressions])),0,1)))))
/
SUM(
IF(DataPP[Display 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W11" s="32" t="e">
        <f t="array" aca="1" ref="W11" ca="1">SUM(
IF(DataPP[Video Viewability 
'[Total Viewable Rate (Total Net Metrics)']]&lt;&gt;"NULL",
IF(DataPP[Partner Type]=ColumnPP[[#This Row],[Metric]],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X11" s="32" t="e">
        <f t="array" aca="1" ref="X11" ca="1">SUM(
IF(DataPP[GroupM Viewability 
'[% Display Ads Fully in View']]&lt;&gt;"NULL",
IF(DataPP[Partner Type]=ColumnPP[[#This Row],[Metric]],
DataPP[GroupM Viewability 
'[% Display Ads Fully in View']]*
SUBTOTAL(9,OFFSET(DataPP[Total Impressions],ROW(DataPP[Total Impressions])-MIN(ROW(DataPP[Total Impressions])),0,1)))))
/
SUM(
IF(DataPP[GroupM Viewability 
'[% Display Ads Fully in View']]&lt;&gt;"NULL",
IF(DataPP[Partner Type]=ColumnPP[[#This Row],[Metric]],
SUBTOTAL(9,OFFSET(DataPP[Total Impressions],ROW(DataPP[Total Impressions])-MIN(ROW(DataPP[Total Impressions])),0,1)))))</f>
        <v>#DIV/0!</v>
      </c>
      <c r="Y11" s="32" t="e">
        <f t="array" aca="1" ref="Y11" ca="1">SUM(
IF(DataPP[GroupM Viewability 
'[% Videos Fully in View']]&lt;&gt;"NULL",
IF(DataPP[Partner Type]=ColumnPP[[#This Row],[Metric]],
DataPP[GroupM Viewability 
'[% Videos Fully in View']]*
SUBTOTAL(9,OFFSET(DataPP[Total Impressions],ROW(DataPP[Total Impressions])-MIN(ROW(DataPP[Total Impressions])),0,1)))))
/
SUM(
IF(DataPP[GroupM Viewability 
'[% Videos Fully in View']]&lt;&gt;"NULL",
IF(DataPP[Partner Type]=ColumnPP[[#This Row],[Metric]],
SUBTOTAL(9,OFFSET(DataPP[Total Impressions],ROW(DataPP[Total Impressions])-MIN(ROW(DataPP[Total Impressions])),0,1)))))</f>
        <v>#DIV/0!</v>
      </c>
      <c r="Z11" s="32" t="e">
        <f t="array" aca="1" ref="Z11" ca="1">SUM(
IF(DataPP[Publicis Viewability 
'[% Display Ads Fully in View']]&lt;&gt;"NULL",
IF(DataPP[Partner Type]=ColumnPP[[#This Row],[Metric]],
DataPP[Publicis Viewability 
'[% Display Ads Fully in View']]*
SUBTOTAL(9,OFFSET(DataPP[Total Impressions],ROW(DataPP[Total Impressions])-MIN(ROW(DataPP[Total Impressions])),0,1)))))
/
SUM(
IF(DataPP[Publicis Viewability 
'[% Display Ads Fully in View']]&lt;&gt;"NULL",
IF(DataPP[Partner Type]=ColumnPP[[#This Row],[Metric]],
SUBTOTAL(9,OFFSET(DataPP[Total Impressions],ROW(DataPP[Total Impressions])-MIN(ROW(DataPP[Total Impressions])),0,1)))))</f>
        <v>#DIV/0!</v>
      </c>
      <c r="AA11" s="32" t="e">
        <f t="array" aca="1" ref="AA11" ca="1">SUM(
IF(DataPP[Publicis Viewability 
'[% Videos Fully in View']]&lt;&gt;"NULL",
IF(DataPP[Partner Type]=ColumnPP[[#This Row],[Metric]],
DataPP[Publicis Viewability 
'[% Videos Fully in View']]*
SUBTOTAL(9,OFFSET(DataPP[Total Impressions],ROW(DataPP[Total Impressions])-MIN(ROW(DataPP[Total Impressions])),0,1)))))
/
SUM(
IF(DataPP[Publicis Viewability 
'[% Videos Fully in View']]&lt;&gt;"NULL",
IF(DataPP[Partner Type]=ColumnPP[[#This Row],[Metric]],
SUBTOTAL(9,OFFSET(DataPP[Total Impressions],ROW(DataPP[Total Impressions])-MIN(ROW(DataPP[Total Impressions])),0,1)))))</f>
        <v>#DIV/0!</v>
      </c>
    </row>
    <row r="12" spans="1:121" s="18" customFormat="1" ht="16.5" hidden="1" customHeight="1" x14ac:dyDescent="0.35">
      <c r="A12" s="236"/>
      <c r="B12" s="237"/>
      <c r="C12" s="237"/>
      <c r="D12" s="237"/>
      <c r="E12" s="60"/>
      <c r="F12" s="60"/>
      <c r="G12" s="242" t="s">
        <v>8</v>
      </c>
      <c r="H12" s="242"/>
      <c r="I12" s="27"/>
      <c r="J12" s="103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5.75" hidden="1" customHeight="1" x14ac:dyDescent="0.35">
      <c r="A13" s="22"/>
      <c r="B13" s="33"/>
      <c r="C13" s="33"/>
      <c r="D13" s="33"/>
      <c r="E13" s="63"/>
      <c r="F13" s="63"/>
      <c r="G13" s="242" t="s">
        <v>8</v>
      </c>
      <c r="H13" s="242"/>
      <c r="I13" s="2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</row>
    <row r="14" spans="1:121" s="18" customFormat="1" ht="15.75" customHeight="1" thickBot="1" x14ac:dyDescent="0.4">
      <c r="B14" s="35"/>
      <c r="C14" s="22"/>
      <c r="D14" s="22"/>
      <c r="E14" s="55"/>
      <c r="F14" s="55"/>
      <c r="G14" s="13" t="s">
        <v>21</v>
      </c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IF(DataT[[#Headers],[Region (Team)]]="Brand",VLOOKUP(DataPP[[#This Row],[Campaign]],Map_Campaign[],2,0),
IF(DataT[[#Headers],[Region (Team)]]="Region (Team)",VLOOKUP(DataPP[[#This Row],[Team]],Map_Team[],2,0),
IF(DataT[[#Headers],[Region (Team)]]="Region (Campaign)",VLOOKUP(DataPP[[#This Row],[Campaign]],Map_Campaign[],3,0),
IF(DataT[[#Headers],[Region (Team)]]="Partner Type",VLOOKUP(DataPP[[#This Row],[Partner]],Map_Partner[],2,0),
IF(DataT[[#Headers],[Region (Team)]]="Device Type",VLOOKUP(DataPP[[#This Row],[Placement]],Map_Placement[],3,0),
IF(DataT[[#Headers],[Region (Team)]]="Creative Size",VLOOKUP(DataPP[[#This Row],[Placement]],Map_Placement[],2,0),"Not a mapping option.")))))),
"[Unmapped]")</f>
        <v>[Unmapped]</v>
      </c>
      <c r="C16" s="45" t="s">
        <v>10</v>
      </c>
      <c r="D16" s="46" t="s">
        <v>10</v>
      </c>
      <c r="E16" s="46" t="s">
        <v>142</v>
      </c>
      <c r="F16" s="46" t="s">
        <v>145</v>
      </c>
      <c r="G16" s="46" t="s">
        <v>10</v>
      </c>
      <c r="H16" s="46" t="s">
        <v>124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11">
    <mergeCell ref="A12:D12"/>
    <mergeCell ref="G12:H12"/>
    <mergeCell ref="G13:H13"/>
    <mergeCell ref="B9:F9"/>
    <mergeCell ref="A10:D10"/>
    <mergeCell ref="A11:D11"/>
    <mergeCell ref="G6:H6"/>
    <mergeCell ref="G7:H7"/>
    <mergeCell ref="G8:H8"/>
    <mergeCell ref="E6:F6"/>
    <mergeCell ref="E8:F8"/>
  </mergeCells>
  <conditionalFormatting sqref="K16:AA16">
    <cfRule type="cellIs" dxfId="31" priority="10" operator="equal">
      <formula>""</formula>
    </cfRule>
  </conditionalFormatting>
  <conditionalFormatting sqref="A6:E8 A1:XFD5 A9:G9 G6:XFD6 F7:J7 G8:XFD8 I9:XFD9 A10:XFD1048576 AB7:XFD7">
    <cfRule type="expression" dxfId="30" priority="9">
      <formula>ISERROR(A1)</formula>
    </cfRule>
  </conditionalFormatting>
  <conditionalFormatting sqref="K16:AA16 K9:AA11">
    <cfRule type="expression" dxfId="29" priority="12">
      <formula>IF(K$7="N/A",0,IF(K$7="Above",K9&lt;=(1-$J$4)*K$8,K9&gt;=(1+$J$4)*K$8))</formula>
    </cfRule>
    <cfRule type="expression" dxfId="28" priority="13">
      <formula>IF(OR(K$7="N/A",K9=0),0,IF(K$7="Above",K9&gt;=(1+$J$3)*K$8,K9&lt;=(1-$J$3)*K$8))</formula>
    </cfRule>
  </conditionalFormatting>
  <conditionalFormatting sqref="H9">
    <cfRule type="expression" dxfId="27" priority="2">
      <formula>ISERROR(H9)</formula>
    </cfRule>
  </conditionalFormatting>
  <conditionalFormatting sqref="K7:AA7">
    <cfRule type="expression" dxfId="26" priority="1">
      <formula>ISERROR(K7)</formula>
    </cfRule>
  </conditionalFormatting>
  <dataValidations count="8">
    <dataValidation allowBlank="1" showInputMessage="1" showErrorMessage="1" errorTitle="Invalid Entry" error="Please select/enter a value from 1 to 5 from the dropdown." sqref="K10:AA11 J11 G9:G11 J9 AB12:XFD13 A13:D13 H9" xr:uid="{00000000-0002-0000-0400-000000000000}"/>
    <dataValidation type="list" allowBlank="1" showInputMessage="1" showErrorMessage="1" errorTitle="Invalid Entry" error="Please select/enter a value from 1 to 5 from the dropdown." sqref="J10" xr:uid="{00000000-0002-0000-04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4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4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400-000005000000}"/>
    <dataValidation allowBlank="1" showInputMessage="1" showErrorMessage="1" prompt="Cell will highlight red if performance deviates by more than this percentage of the client goal." sqref="J4" xr:uid="{00000000-0002-0000-0400-000006000000}"/>
    <dataValidation type="list" allowBlank="1" showInputMessage="1" showErrorMessage="1" sqref="B15" xr:uid="{00000000-0002-0000-0400-000007000000}">
      <formula1>"Partner Type, Creative Size, Device Type"</formula1>
    </dataValidation>
    <dataValidation type="list" allowBlank="1" showInputMessage="1" showErrorMessage="1" sqref="X27" xr:uid="{00000000-0002-0000-0400-000003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AC1F70AB-DD8E-4FEC-9F1A-D4FCE42083F0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44.26953125" style="50" customWidth="1"/>
    <col min="4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3" t="s">
        <v>21</v>
      </c>
      <c r="C1" s="92"/>
      <c r="D1" s="13" t="s">
        <v>21</v>
      </c>
      <c r="E1" s="13" t="s">
        <v>21</v>
      </c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6"/>
      <c r="C2" s="93"/>
      <c r="D2" s="16"/>
      <c r="E2" s="16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6"/>
      <c r="C3" s="93"/>
      <c r="D3" s="16"/>
      <c r="E3" s="16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6"/>
      <c r="C4" s="93"/>
      <c r="D4" s="16"/>
      <c r="E4" s="16"/>
      <c r="F4" s="16"/>
      <c r="G4" s="52"/>
      <c r="H4" s="16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6"/>
      <c r="C5" s="93"/>
      <c r="D5" s="16"/>
      <c r="E5" s="16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7" t="s">
        <v>155</v>
      </c>
      <c r="C6" s="94" t="s">
        <v>155</v>
      </c>
      <c r="D6" s="70" t="s">
        <v>155</v>
      </c>
      <c r="E6" s="70"/>
      <c r="F6" s="70"/>
      <c r="G6" s="243" t="s">
        <v>133</v>
      </c>
      <c r="H6" s="244"/>
      <c r="I6" s="245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27"/>
      <c r="B7" s="28"/>
      <c r="C7" s="95"/>
      <c r="D7" s="28"/>
      <c r="E7" s="28"/>
      <c r="F7" s="28"/>
      <c r="G7" s="246" t="s">
        <v>132</v>
      </c>
      <c r="H7" s="247"/>
      <c r="I7" s="248"/>
      <c r="J7" s="54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26"/>
    </row>
    <row r="8" spans="1:121" s="18" customFormat="1" ht="15.65" customHeight="1" x14ac:dyDescent="0.35">
      <c r="A8" s="22"/>
      <c r="B8" s="70"/>
      <c r="C8" s="96" t="str">
        <f ca="1">MID(CELL("filename",A1),FIND("]",CELL("filename",A1))+1,255)&amp;" Level Scorecard"</f>
        <v>Device Level Scorecard</v>
      </c>
      <c r="D8" s="70"/>
      <c r="E8" s="70"/>
      <c r="F8" s="70"/>
      <c r="G8" s="240" t="s">
        <v>132</v>
      </c>
      <c r="H8" s="241"/>
      <c r="I8" s="249"/>
      <c r="J8" s="127" t="s">
        <v>16</v>
      </c>
      <c r="K8" s="128">
        <f>VLOOKUP(K6,Benchmark_Legend[],MATCH(ColumnD[[#This Row],[Metric]],Benchmark_Legend[#Headers],0),0)</f>
        <v>0.7</v>
      </c>
      <c r="L8" s="128">
        <f>VLOOKUP(L6,Benchmark_Legend[],MATCH(ColumnD[[#This Row],[Metric]],Benchmark_Legend[#Headers],0),0)</f>
        <v>0.98</v>
      </c>
      <c r="M8" s="128">
        <f>VLOOKUP(M6,Benchmark_Legend[],MATCH(ColumnD[[#This Row],[Metric]],Benchmark_Legend[#Headers],0),0)</f>
        <v>0.95</v>
      </c>
      <c r="N8" s="128">
        <f>VLOOKUP(N6,Benchmark_Legend[],MATCH(ColumnD[[#This Row],[Metric]],Benchmark_Legend[#Headers],0),0)</f>
        <v>0.05</v>
      </c>
      <c r="O8" s="128">
        <f>VLOOKUP(O6,Benchmark_Legend[],MATCH(ColumnD[[#This Row],[Metric]],Benchmark_Legend[#Headers],0),0)</f>
        <v>0.02</v>
      </c>
      <c r="P8" s="128">
        <f>VLOOKUP(P6,Benchmark_Legend[],MATCH(ColumnD[[#This Row],[Metric]],Benchmark_Legend[#Headers],0),0)</f>
        <v>0.02</v>
      </c>
      <c r="Q8" s="128">
        <f>VLOOKUP(Q6,Benchmark_Legend[],MATCH(ColumnD[[#This Row],[Metric]],Benchmark_Legend[#Headers],0),0)</f>
        <v>0.01</v>
      </c>
      <c r="R8" s="128">
        <f>VLOOKUP(R6,Benchmark_Legend[],MATCH(ColumnD[[#This Row],[Metric]],Benchmark_Legend[#Headers],0),0)</f>
        <v>0.01</v>
      </c>
      <c r="S8" s="128">
        <f>VLOOKUP(S6,Benchmark_Legend[],MATCH(ColumnD[[#This Row],[Metric]],Benchmark_Legend[#Headers],0),0)</f>
        <v>0.01</v>
      </c>
      <c r="T8" s="128">
        <f>VLOOKUP(T6,Benchmark_Legend[],MATCH(ColumnD[[#This Row],[Metric]],Benchmark_Legend[#Headers],0),0)</f>
        <v>0.03</v>
      </c>
      <c r="U8" s="128">
        <f>VLOOKUP(U6,Benchmark_Legend[],MATCH(ColumnD[[#This Row],[Metric]],Benchmark_Legend[#Headers],0),0)</f>
        <v>0.55000000000000004</v>
      </c>
      <c r="V8" s="128">
        <f>VLOOKUP(V6,Benchmark_Legend[],MATCH(ColumnD[[#This Row],[Metric]],Benchmark_Legend[#Headers],0),0)</f>
        <v>0.6</v>
      </c>
      <c r="W8" s="128">
        <f>VLOOKUP(W6,Benchmark_Legend[],MATCH(ColumnD[[#This Row],[Metric]],Benchmark_Legend[#Headers],0),0)</f>
        <v>0.5</v>
      </c>
      <c r="X8" s="128">
        <f>VLOOKUP(X6,Benchmark_Legend[],MATCH(ColumnD[[#This Row],[Metric]],Benchmark_Legend[#Headers],0),0)</f>
        <v>0.35</v>
      </c>
      <c r="Y8" s="128">
        <f>VLOOKUP(Y6,Benchmark_Legend[],MATCH(ColumnD[[#This Row],[Metric]],Benchmark_Legend[#Headers],0),0)</f>
        <v>0.25</v>
      </c>
      <c r="Z8" s="128">
        <f>VLOOKUP(Z6,Benchmark_Legend[],MATCH(ColumnD[[#This Row],[Metric]],Benchmark_Legend[#Headers],0),0)</f>
        <v>0.35</v>
      </c>
      <c r="AA8" s="128">
        <f>VLOOKUP(AA6,Benchmark_Legend[],MATCH(ColumnD[[#This Row],[Metric]],Benchmark_Legend[#Headers],0),0)</f>
        <v>0.25</v>
      </c>
      <c r="AB8" s="26"/>
    </row>
    <row r="9" spans="1:121" s="18" customFormat="1" ht="15.65" customHeight="1" thickBot="1" x14ac:dyDescent="0.4">
      <c r="A9" s="83" t="e">
        <f>RIGHT(#REF!,7)</f>
        <v>#REF!</v>
      </c>
      <c r="B9" s="68" t="s">
        <v>154</v>
      </c>
      <c r="C9" s="130" t="s">
        <v>154</v>
      </c>
      <c r="D9" s="68"/>
      <c r="E9" s="68"/>
      <c r="F9" s="68"/>
      <c r="G9" s="121" t="s">
        <v>14</v>
      </c>
      <c r="H9" s="122"/>
      <c r="I9" s="123"/>
      <c r="J9" s="113" t="s">
        <v>130</v>
      </c>
      <c r="K9" s="100">
        <f t="array" aca="1" ref="K9" ca="1">SUM(
IF((DataD[Measured Rate 
'[% Measured']]&lt;&gt;"NULL"),
DataD[Measured Rate 
'[% Measured']]*
SUBTOTAL(9,OFFSET(DataD[Total Impressions],ROW(DataD[Total Impressions])-MIN(ROW(DataD[Total Impressions])),0,1))))
/
SUM(
IF((DataD[Measured Rate 
'[% Measured']]&lt;&gt;"NULL"),
SUBTOTAL(9,OFFSET(DataD[Total Impressions],ROW(DataD[Total Impressions])-MIN(ROW(DataD[Total Impressions])),0,1))))</f>
        <v>0.7</v>
      </c>
      <c r="L9" s="100">
        <f t="array" aca="1" ref="L9" ca="1">SUM(
IF((DataD[See-Through Rate 
'[% Visible']]&lt;&gt;"NULL"),
DataD[See-Through Rate 
'[% Visible']]*
SUBTOTAL(9,OFFSET(DataD[Total Impressions],ROW(DataD[Total Impressions])-MIN(ROW(DataD[Total Impressions])),0,1))))
/
SUM(
IF((DataD[See-Through Rate 
'[% Visible']]&lt;&gt;"NULL"),
SUBTOTAL(9,OFFSET(DataD[Total Impressions],ROW(DataD[Total Impressions])-MIN(ROW(DataD[Total Impressions])),0,1))))</f>
        <v>0.98</v>
      </c>
      <c r="M9" s="112">
        <f t="array" aca="1" ref="M9" ca="1">SUM(
IF((DataD[Brand Safety 
'[% Passed']]&lt;&gt;"NULL"),
DataD[Brand Safety 
'[% Passed']]*
SUBTOTAL(9,OFFSET(DataD[Total Impressions],ROW(DataD[Total Impressions])-MIN(ROW(DataD[Total Impressions])),0,1))))
/
SUM(
IF((DataD[Brand Safety 
'[% Passed']]&lt;&gt;"NULL"),
SUBTOTAL(9,OFFSET(DataD[Total Impressions],ROW(DataD[Total Impressions])-MIN(ROW(DataD[Total Impressions])),0,1))))</f>
        <v>0.95</v>
      </c>
      <c r="N9" s="112">
        <f t="array" aca="1" ref="N9" ca="1">SUM(
IF((DataD[Brand Safety 
'[% Failed']]&lt;&gt;"NULL"),
DataD[Brand Safety 
'[% Failed']]*
SUBTOTAL(9,OFFSET(DataD[Total Impressions],ROW(DataD[Total Impressions])-MIN(ROW(DataD[Total Impressions])),0,1))))
/
SUM(
IF((DataD[Brand Safety 
'[% Failed']]&lt;&gt;"NULL"),
SUBTOTAL(9,OFFSET(DataD[Total Impressions],ROW(DataD[Total Impressions])-MIN(ROW(DataD[Total Impressions])),0,1))))</f>
        <v>0.05</v>
      </c>
      <c r="O9" s="112">
        <f t="array" aca="1" ref="O9" ca="1">SUM(
IF((DataD[Brand Safety 
'[% Failed by Content']]&lt;&gt;"NULL"),
DataD[Brand Safety 
'[% Failed by Content']]*
SUBTOTAL(9,OFFSET(DataD[Total Impressions],ROW(DataD[Total Impressions])-MIN(ROW(DataD[Total Impressions])),0,1))))
/
SUM(
IF((DataD[Brand Safety 
'[% Failed by Content']]&lt;&gt;"NULL"),
SUBTOTAL(9,OFFSET(DataD[Total Impressions],ROW(DataD[Total Impressions])-MIN(ROW(DataD[Total Impressions])),0,1))))</f>
        <v>0.02</v>
      </c>
      <c r="P9" s="112">
        <f t="array" aca="1" ref="P9" ca="1">SUM(
IF((DataD[Brand Safety 
'[% Failed by Geo']]&lt;&gt;"NULL"),
DataD[Brand Safety 
'[% Failed by Geo']]*
SUBTOTAL(9,OFFSET(DataD[Total Impressions],ROW(DataD[Total Impressions])-MIN(ROW(DataD[Total Impressions])),0,1))))
/
SUM(
IF((DataD[Brand Safety 
'[% Failed by Geo']]&lt;&gt;"NULL"),
SUBTOTAL(9,OFFSET(DataD[Total Impressions],ROW(DataD[Total Impressions])-MIN(ROW(DataD[Total Impressions])),0,1))))</f>
        <v>0.02</v>
      </c>
      <c r="Q9" s="100">
        <f t="array" aca="1" ref="Q9" ca="1">SUM(
IF((DataD[Brand Safety 
'[% Failed by Keyword']]&lt;&gt;"NULL"),
DataD[Brand Safety 
'[% Failed by Keyword']]*
SUBTOTAL(9,OFFSET(DataD[Total Impressions],ROW(DataD[Total Impressions])-MIN(ROW(DataD[Total Impressions])),0,1))))
/
SUM(
IF((DataD[Brand Safety 
'[% Failed by Keyword']]&lt;&gt;"NULL"),
SUBTOTAL(9,OFFSET(DataD[Total Impressions],ROW(DataD[Total Impressions])-MIN(ROW(DataD[Total Impressions])),0,1))))</f>
        <v>0.01</v>
      </c>
      <c r="R9" s="100">
        <f t="array" aca="1" ref="R9" ca="1">SUM(
IF((DataD[Brand Safety 
'[% Failed by Blacklist']]&lt;&gt;"NULL"),
DataD[Brand Safety 
'[% Failed by Blacklist']]*
SUBTOTAL(9,OFFSET(DataD[Total Impressions],ROW(DataD[Total Impressions])-MIN(ROW(DataD[Total Impressions])),0,1))))
/
SUM(
IF((DataD[Brand Safety 
'[% Failed by Blacklist']]&lt;&gt;"NULL"),
SUBTOTAL(9,OFFSET(DataD[Total Impressions],ROW(DataD[Total Impressions])-MIN(ROW(DataD[Total Impressions])),0,1))))</f>
        <v>0.01</v>
      </c>
      <c r="S9" s="100">
        <f t="array" aca="1" ref="S9" ca="1">SUM(
IF((DataD[Brand Safety 
'[% Failed by Language']]&lt;&gt;"NULL"),
DataD[Brand Safety 
'[% Failed by Language']]*
SUBTOTAL(9,OFFSET(DataD[Total Impressions],ROW(DataD[Total Impressions])-MIN(ROW(DataD[Total Impressions])),0,1))))
/
SUM(
IF((DataD[Brand Safety 
'[% Failed by Language']]&lt;&gt;"NULL"),
SUBTOTAL(9,OFFSET(DataD[Total Impressions],ROW(DataD[Total Impressions])-MIN(ROW(DataD[Total Impressions])),0,1))))</f>
        <v>0.01</v>
      </c>
      <c r="T9" s="100">
        <f t="array" aca="1" ref="T9" ca="1">SUM(
IF((DataD[Fraud 
'[% Fraud']]&lt;&gt;"NULL"),
DataD[Fraud 
'[% Fraud']]*
SUBTOTAL(9,OFFSET(DataD[Total Impressions],ROW(DataD[Total Impressions])-MIN(ROW(DataD[Total Impressions])),0,1))))
/
SUM(
IF((DataD[Fraud 
'[% Fraud']]&lt;&gt;"NULL"),
SUBTOTAL(9,OFFSET(DataD[Total Impressions],ROW(DataD[Total Impressions])-MIN(ROW(DataD[Total Impressions])),0,1))))</f>
        <v>0.03</v>
      </c>
      <c r="U9" s="100">
        <f t="array" aca="1" ref="U9" ca="1">SUM(
IF((DataD[Viewability 
'[Total Viewable Rate (Total Net Metrics)']]&lt;&gt;"NULL"),
DataD[Viewability 
'[Total Viewable Rate (Total Net Metrics)']]*SUBTOTAL(9,OFFSET(DataD[Measured Impressions],ROW(DataD[Measured Impressions])-MIN(ROW(DataD[Measured Impressions])),0,1))))
/
SUM(
IF((DataD[Viewability 
'[Total Viewable Rate (Total Net Metrics)']]&lt;&gt;"NULL"),
SUBTOTAL(9,OFFSET(DataD[Measured Impressions],ROW(DataD[Measured Impressions])-MIN(ROW(DataD[Measured Impressions])),0,1))))</f>
        <v>0.55000000000000004</v>
      </c>
      <c r="V9" s="100">
        <f t="array" aca="1" ref="V9" ca="1">SUM(
IF((DataD[Display Viewability 
'[Total Viewable Rate (Total Net Metrics)']]&lt;&gt;"NULL"),
DataD[Display Viewability 
'[Total Viewable Rate (Total Net Metrics)']]*SUBTOTAL(9,OFFSET(DataD[Measured Impressions],ROW(DataD[Measured Impressions])-MIN(ROW(DataD[Measured Impressions])),0,1))))
/
SUM(
IF((DataD[Display Viewability 
'[Total Viewable Rate (Total Net Metrics)']]&lt;&gt;"NULL"),
SUBTOTAL(9,OFFSET(DataD[Measured Impressions],ROW(DataD[Measured Impressions])-MIN(ROW(DataD[Measured Impressions])),0,1))))</f>
        <v>0.6</v>
      </c>
      <c r="W9" s="112">
        <f t="array" aca="1" ref="W9" ca="1">SUM(
IF((DataD[Video Viewability 
'[Total Viewable Rate (Total Net Metrics)']]&lt;&gt;"NULL"),
DataD[Video Viewability 
'[Total Viewable Rate (Total Net Metrics)']]*SUBTOTAL(9,OFFSET(DataD[Measured Impressions],ROW(DataD[Measured Impressions])-MIN(ROW(DataD[Measured Impressions])),0,1))))
/
SUM(
IF((DataD[Video Viewability 
'[Total Viewable Rate (Total Net Metrics)']]&lt;&gt;"NULL"),
SUBTOTAL(9,OFFSET(DataD[Measured Impressions],ROW(DataD[Measured Impressions])-MIN(ROW(DataD[Measured Impressions])),0,1))))</f>
        <v>0.5</v>
      </c>
      <c r="X9" s="100">
        <f t="array" aca="1" ref="X9" ca="1">SUM(
IF((DataD[GroupM Viewability 
'[% Display Ads Fully in View']]&lt;&gt;"NULL"),
DataD[GroupM Viewability 
'[% Display Ads Fully in View']]*SUBTOTAL(9,OFFSET(DataD[Measured Impressions],ROW(DataD[Measured Impressions])-MIN(ROW(DataD[Measured Impressions])),0,1))))
/
SUM(
IF((DataD[GroupM Viewability 
'[% Display Ads Fully in View']]&lt;&gt;"NULL"),
SUBTOTAL(9,OFFSET(DataD[Measured Impressions],ROW(DataD[Measured Impressions])-MIN(ROW(DataD[Measured Impressions])),0,1))))</f>
        <v>0.35</v>
      </c>
      <c r="Y9" s="112">
        <f t="array" aca="1" ref="Y9" ca="1">SUM(
IF((DataD[GroupM Viewability 
'[% Videos Fully in View']]&lt;&gt;"NULL"),
DataD[GroupM Viewability 
'[% Videos Fully in View']]*SUBTOTAL(9,OFFSET(DataD[Measured Impressions],ROW(DataD[Measured Impressions])-MIN(ROW(DataD[Measured Impressions])),0,1))))
/
SUM(
IF((DataD[GroupM Viewability 
'[% Videos Fully in View']]&lt;&gt;"NULL"),
SUBTOTAL(9,OFFSET(DataD[Measured Impressions],ROW(DataD[Measured Impressions])-MIN(ROW(DataD[Measured Impressions])),0,1))))</f>
        <v>0.25</v>
      </c>
      <c r="Z9" s="100">
        <f t="array" aca="1" ref="Z9" ca="1">SUM(
IF((DataD[Publicis Viewability 
'[% Display Ads Fully in View']]&lt;&gt;"NULL"),
DataD[Publicis Viewability 
'[% Display Ads Fully in View']]*SUBTOTAL(9,OFFSET(DataD[Measured Impressions],ROW(DataD[Measured Impressions])-MIN(ROW(DataD[Measured Impressions])),0,1))))
/
SUM(
IF((DataD[Publicis Viewability 
'[% Display Ads Fully in View']]&lt;&gt;"NULL"),
SUBTOTAL(9,OFFSET(DataD[Measured Impressions],ROW(DataD[Measured Impressions])-MIN(ROW(DataD[Measured Impressions])),0,1))))</f>
        <v>0.35</v>
      </c>
      <c r="AA9" s="100">
        <f t="array" aca="1" ref="AA9" ca="1">SUM(
IF((DataD[Publicis Viewability 
'[% Videos Fully in View']]&lt;&gt;"NULL"),
DataD[Publicis Viewability 
'[% Videos Fully in View']]*SUBTOTAL(9,OFFSET(DataD[Measured Impressions],ROW(DataD[Measured Impressions])-MIN(ROW(DataD[Measured Impressions])),0,1))))
/
SUM(
IF((DataD[Publicis Viewability 
'[% Videos Fully in View']]&lt;&gt;"NULL"),
SUBTOTAL(9,OFFSET(DataD[Measured Impressions],ROW(DataD[Measured Impressions])-MIN(ROW(DataD[Measured Impressions])),0,1))))</f>
        <v>0.25</v>
      </c>
      <c r="AB9" s="26"/>
    </row>
    <row r="10" spans="1:121" s="18" customFormat="1" ht="15.75" hidden="1" customHeight="1" x14ac:dyDescent="0.35">
      <c r="A10" s="71"/>
      <c r="B10" s="68"/>
      <c r="C10" s="97"/>
      <c r="D10" s="68"/>
      <c r="E10" s="68"/>
      <c r="F10" s="68"/>
      <c r="G10" s="124" t="s">
        <v>14</v>
      </c>
      <c r="H10" s="124"/>
      <c r="I10" s="125"/>
      <c r="J10" s="102" t="s">
        <v>126</v>
      </c>
      <c r="K10" s="31">
        <f t="array" aca="1" ref="K10" ca="1">SUM(
IF(DataD[Measured Rate 
'[% Measured']]&lt;&gt;"NULL",
IF(DataD[Device Type]=ColumnD[[#This Row],[Metric]],
DataD[Measured Rate 
'[% Measured']]*
SUBTOTAL(9,OFFSET(DataD[Total Impressions],ROW(DataD[Total Impressions])-MIN(ROW(DataD[Total Impressions])),0,1)))))
/
SUM(
IF(DataD[Measured Rate 
'[% Measured']]&lt;&gt;"NULL",
IF(DataD[Device Type]=ColumnD[[#This Row],[Metric]],
SUBTOTAL(9,OFFSET(DataD[Total Impressions],ROW(DataD[Total Impressions])-MIN(ROW(DataD[Total Impressions])),0,1)))))</f>
        <v>0.7</v>
      </c>
      <c r="L10" s="32">
        <f t="array" aca="1" ref="L10" ca="1">SUM(
IF(DataD[See-Through Rate 
'[% Visible']]&lt;&gt;"NULL",
IF(DataD[Device Type]=ColumnD[[#This Row],[Metric]],
DataD[See-Through Rate 
'[% Visible']]*
SUBTOTAL(9,OFFSET(DataD[Total Impressions],ROW(DataD[Total Impressions])-MIN(ROW(DataD[Total Impressions])),0,1)))))
/
SUM(
IF(DataD[See-Through Rate 
'[% Visible']]&lt;&gt;"NULL",
IF(DataD[Device Type]=ColumnD[[#This Row],[Metric]],
SUBTOTAL(9,OFFSET(DataD[Total Impressions],ROW(DataD[Total Impressions])-MIN(ROW(DataD[Total Impressions])),0,1)))))</f>
        <v>0.98</v>
      </c>
      <c r="M10" s="32">
        <f t="array" aca="1" ref="M10" ca="1">SUM(
IF(DataD[Brand Safety 
'[% Passed']]&lt;&gt;"NULL",
IF(DataD[Device Type]=ColumnD[[#This Row],[Metric]],
DataD[Brand Safety 
'[% Passed']]*
SUBTOTAL(9,OFFSET(DataD[Total Impressions],ROW(DataD[Total Impressions])-MIN(ROW(DataD[Total Impressions])),0,1)))))
/
SUM(
IF(DataD[Brand Safety 
'[% Passed']]&lt;&gt;"NULL",
IF(DataD[Device Type]=ColumnD[[#This Row],[Metric]],
SUBTOTAL(9,OFFSET(DataD[Total Impressions],ROW(DataD[Total Impressions])-MIN(ROW(DataD[Total Impressions])),0,1)))))</f>
        <v>0.95</v>
      </c>
      <c r="N10" s="32">
        <f t="array" aca="1" ref="N10" ca="1">SUM(
IF(DataD[Brand Safety 
'[% Failed']]&lt;&gt;"NULL",
IF(DataD[Device Type]=ColumnD[[#This Row],[Metric]],
DataD[Brand Safety 
'[% Failed']]*
SUBTOTAL(9,OFFSET(DataD[Total Impressions],ROW(DataD[Total Impressions])-MIN(ROW(DataD[Total Impressions])),0,1)))))
/
SUM(
IF(DataD[Brand Safety 
'[% Failed']]&lt;&gt;"NULL",
IF(DataD[Device Type]=ColumnD[[#This Row],[Metric]],
SUBTOTAL(9,OFFSET(DataD[Total Impressions],ROW(DataD[Total Impressions])-MIN(ROW(DataD[Total Impressions])),0,1)))))</f>
        <v>0.05</v>
      </c>
      <c r="O10" s="32">
        <f t="array" aca="1" ref="O10" ca="1">SUM(
IF(DataD[Brand Safety 
'[% Failed by Content']]&lt;&gt;"NULL",
IF(DataD[Device Type]=ColumnD[[#This Row],[Metric]],
DataD[Brand Safety 
'[% Failed by Content']]*
SUBTOTAL(9,OFFSET(DataD[Total Impressions],ROW(DataD[Total Impressions])-MIN(ROW(DataD[Total Impressions])),0,1)))))
/
SUM(
IF(DataD[Brand Safety 
'[% Failed by Content']]&lt;&gt;"NULL",
IF(DataD[Device Type]=ColumnD[[#This Row],[Metric]],
SUBTOTAL(9,OFFSET(DataD[Total Impressions],ROW(DataD[Total Impressions])-MIN(ROW(DataD[Total Impressions])),0,1)))))</f>
        <v>0.02</v>
      </c>
      <c r="P10" s="32">
        <f t="array" aca="1" ref="P10" ca="1">SUM(
IF(DataD[Brand Safety 
'[% Failed by Geo']]&lt;&gt;"NULL",
IF(DataD[Device Type]=ColumnD[[#This Row],[Metric]],
DataD[Brand Safety 
'[% Failed by Geo']]*
SUBTOTAL(9,OFFSET(DataD[Total Impressions],ROW(DataD[Total Impressions])-MIN(ROW(DataD[Total Impressions])),0,1)))))
/
SUM(
IF(DataD[Brand Safety 
'[% Failed by Geo']]&lt;&gt;"NULL",
IF(DataD[Device Type]=ColumnD[[#This Row],[Metric]],
SUBTOTAL(9,OFFSET(DataD[Total Impressions],ROW(DataD[Total Impressions])-MIN(ROW(DataD[Total Impressions])),0,1)))))</f>
        <v>0.02</v>
      </c>
      <c r="Q10" s="32">
        <f t="array" aca="1" ref="Q10" ca="1">SUM(
IF(DataD[Brand Safety 
'[% Failed by Keyword']]&lt;&gt;"NULL",
IF(DataD[Device Type]=ColumnD[[#This Row],[Metric]],
DataD[Brand Safety 
'[% Failed by Keyword']]*
SUBTOTAL(9,OFFSET(DataD[Total Impressions],ROW(DataD[Total Impressions])-MIN(ROW(DataD[Total Impressions])),0,1)))))
/
SUM(
IF(DataD[Brand Safety 
'[% Failed by Keyword']]&lt;&gt;"NULL",
IF(DataD[Device Type]=ColumnD[[#This Row],[Metric]],
SUBTOTAL(9,OFFSET(DataD[Total Impressions],ROW(DataD[Total Impressions])-MIN(ROW(DataD[Total Impressions])),0,1)))))</f>
        <v>0.01</v>
      </c>
      <c r="R10" s="32">
        <f t="array" aca="1" ref="R10" ca="1">SUM(
IF(DataD[Brand Safety 
'[% Failed by Blacklist']]&lt;&gt;"NULL",
IF(DataD[Device Type]=ColumnD[[#This Row],[Metric]],
DataD[Brand Safety 
'[% Failed by Blacklist']]*
SUBTOTAL(9,OFFSET(DataD[Total Impressions],ROW(DataD[Total Impressions])-MIN(ROW(DataD[Total Impressions])),0,1)))))
/
SUM(
IF(DataD[Brand Safety 
'[% Failed by Blacklist']]&lt;&gt;"NULL",
IF(DataD[Device Type]=ColumnD[[#This Row],[Metric]],
SUBTOTAL(9,OFFSET(DataD[Total Impressions],ROW(DataD[Total Impressions])-MIN(ROW(DataD[Total Impressions])),0,1)))))</f>
        <v>0.01</v>
      </c>
      <c r="S10" s="32">
        <f t="array" aca="1" ref="S10" ca="1">SUM(
IF(DataD[Brand Safety 
'[% Failed by Language']]&lt;&gt;"NULL",
IF(DataD[Device Type]=ColumnD[[#This Row],[Metric]],
DataD[Brand Safety 
'[% Failed by Language']]*
SUBTOTAL(9,OFFSET(DataD[Total Impressions],ROW(DataD[Total Impressions])-MIN(ROW(DataD[Total Impressions])),0,1)))))
/
SUM(
IF(DataD[Brand Safety 
'[% Failed by Language']]&lt;&gt;"NULL",
IF(DataD[Device Type]=ColumnD[[#This Row],[Metric]],
SUBTOTAL(9,OFFSET(DataD[Total Impressions],ROW(DataD[Total Impressions])-MIN(ROW(DataD[Total Impressions])),0,1)))))</f>
        <v>0.01</v>
      </c>
      <c r="T10" s="32">
        <f t="array" aca="1" ref="T10" ca="1">SUM(
IF(DataD[Fraud 
'[% Fraud']]&lt;&gt;"NULL",
IF(DataD[Device Type]=ColumnD[[#This Row],[Metric]],
DataD[Fraud 
'[% Fraud']]*
SUBTOTAL(9,OFFSET(DataD[Total Impressions],ROW(DataD[Total Impressions])-MIN(ROW(DataD[Total Impressions])),0,1)))))
/
SUM(
IF(DataD[Fraud 
'[% Fraud']]&lt;&gt;"NULL",
IF(DataD[Device Type]=ColumnD[[#This Row],[Metric]],
SUBTOTAL(9,OFFSET(DataD[Total Impressions],ROW(DataD[Total Impressions])-MIN(ROW(DataD[Total Impressions])),0,1)))))</f>
        <v>0.03</v>
      </c>
      <c r="U10" s="32">
        <f t="array" aca="1" ref="U10" ca="1">SUM(
IF(DataD[Viewability 
'[Total Viewable Rate (Total Net Metrics)']]&lt;&gt;"NULL",
IF(DataD[Device Type]=ColumnD[[#This Row],[Metric]],
DataD[Viewability 
'[Total Viewable Rate (Total Net Metrics)']]*
SUBTOTAL(9,OFFSET(DataD[Total Impressions],ROW(DataD[Total Impressions])-MIN(ROW(DataD[Total Impressions])),0,1)))))
/
SUM(
IF(DataD[Viewability 
'[Total Viewable Rate (Total Net Metrics)']]&lt;&gt;"NULL",
IF(DataD[Device Type]=ColumnD[[#This Row],[Metric]],
SUBTOTAL(9,OFFSET(DataD[Total Impressions],ROW(DataD[Total Impressions])-MIN(ROW(DataD[Total Impressions])),0,1)))))</f>
        <v>0.55000000000000004</v>
      </c>
      <c r="V10" s="32">
        <f t="array" aca="1" ref="V10" ca="1">SUM(
IF(DataD[Display Viewability 
'[Total Viewable Rate (Total Net Metrics)']]&lt;&gt;"NULL",
IF(DataD[Device Type]=ColumnD[[#This Row],[Metric]],
DataD[Display Viewability 
'[Total Viewable Rate (Total Net Metrics)']]*
SUBTOTAL(9,OFFSET(DataD[Total Impressions],ROW(DataD[Total Impressions])-MIN(ROW(DataD[Total Impressions])),0,1)))))
/
SUM(
IF(DataD[Display Viewability 
'[Total Viewable Rate (Total Net Metrics)']]&lt;&gt;"NULL",
IF(DataD[Device Type]=ColumnD[[#This Row],[Metric]],
SUBTOTAL(9,OFFSET(DataD[Total Impressions],ROW(DataD[Total Impressions])-MIN(ROW(DataD[Total Impressions])),0,1)))))</f>
        <v>0.59999999999999987</v>
      </c>
      <c r="W10" s="32">
        <f t="array" aca="1" ref="W10" ca="1">SUM(
IF(DataD[Video Viewability 
'[Total Viewable Rate (Total Net Metrics)']]&lt;&gt;"NULL",
IF(DataD[Device Type]=ColumnD[[#This Row],[Metric]],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IF(DataD[Device Type]=ColumnD[[#This Row],[Metric]],
SUBTOTAL(9,OFFSET(DataD[Total Impressions],ROW(DataD[Total Impressions])-MIN(ROW(DataD[Total Impressions])),0,1)))))</f>
        <v>0.5</v>
      </c>
      <c r="X10" s="32">
        <f t="array" aca="1" ref="X10" ca="1">SUM(
IF(DataD[GroupM Viewability 
'[% Display Ads Fully in View']]&lt;&gt;"NULL",
IF(DataD[Device Type]=ColumnD[[#This Row],[Metric]],
DataD[GroupM Viewability 
'[% Display Ads Fully in View']]*
SUBTOTAL(9,OFFSET(DataD[Total Impressions],ROW(DataD[Total Impressions])-MIN(ROW(DataD[Total Impressions])),0,1)))))
/
SUM(
IF(DataD[GroupM Viewability 
'[% Display Ads Fully in View']]&lt;&gt;"NULL",
IF(DataD[Device Type]=ColumnD[[#This Row],[Metric]],
SUBTOTAL(9,OFFSET(DataD[Total Impressions],ROW(DataD[Total Impressions])-MIN(ROW(DataD[Total Impressions])),0,1)))))</f>
        <v>0.35</v>
      </c>
      <c r="Y10" s="32">
        <f t="array" aca="1" ref="Y10" ca="1">SUM(
IF(DataD[GroupM Viewability 
'[% Videos Fully in View']]&lt;&gt;"NULL",
IF(DataD[Device Type]=ColumnD[[#This Row],[Metric]],
DataD[GroupM Viewability 
'[% Videos Fully in View']]*
SUBTOTAL(9,OFFSET(DataD[Total Impressions],ROW(DataD[Total Impressions])-MIN(ROW(DataD[Total Impressions])),0,1)))))
/
SUM(
IF(DataD[GroupM Viewability 
'[% Videos Fully in View']]&lt;&gt;"NULL",
IF(DataD[Device Type]=ColumnD[[#This Row],[Metric]],
SUBTOTAL(9,OFFSET(DataD[Total Impressions],ROW(DataD[Total Impressions])-MIN(ROW(DataD[Total Impressions])),0,1)))))</f>
        <v>0.25</v>
      </c>
      <c r="Z10" s="32">
        <f t="array" aca="1" ref="Z10" ca="1">SUM(
IF(DataD[Publicis Viewability 
'[% Display Ads Fully in View']]&lt;&gt;"NULL",
IF(DataD[Device Type]=ColumnD[[#This Row],[Metric]],
DataD[Publicis Viewability 
'[% Display Ads Fully in View']]*
SUBTOTAL(9,OFFSET(DataD[Total Impressions],ROW(DataD[Total Impressions])-MIN(ROW(DataD[Total Impressions])),0,1)))))
/
SUM(
IF(DataD[Publicis Viewability 
'[% Display Ads Fully in View']]&lt;&gt;"NULL",
IF(DataD[Device Type]=ColumnD[[#This Row],[Metric]],
SUBTOTAL(9,OFFSET(DataD[Total Impressions],ROW(DataD[Total Impressions])-MIN(ROW(DataD[Total Impressions])),0,1)))))</f>
        <v>0.35</v>
      </c>
      <c r="AA10" s="32">
        <f t="array" aca="1" ref="AA10" ca="1">SUM(
IF(DataD[Publicis Viewability 
'[% Videos Fully in View']]&lt;&gt;"NULL",
IF(DataD[Device Type]=ColumnD[[#This Row],[Metric]],
DataD[Publicis Viewability 
'[% Videos Fully in View']]*
SUBTOTAL(9,OFFSET(DataD[Total Impressions],ROW(DataD[Total Impressions])-MIN(ROW(DataD[Total Impressions])),0,1)))))
/
SUM(
IF(DataD[Publicis Viewability 
'[% Videos Fully in View']]&lt;&gt;"NULL",
IF(DataD[Device Type]=ColumnD[[#This Row],[Metric]],
SUBTOTAL(9,OFFSET(DataD[Total Impressions],ROW(DataD[Total Impressions])-MIN(ROW(DataD[Total Impressions])),0,1)))))</f>
        <v>0.25</v>
      </c>
      <c r="AB10" s="26"/>
    </row>
    <row r="11" spans="1:121" s="18" customFormat="1" ht="16.5" hidden="1" customHeight="1" x14ac:dyDescent="0.35">
      <c r="A11" s="71"/>
      <c r="B11" s="68"/>
      <c r="C11" s="97"/>
      <c r="D11" s="68"/>
      <c r="E11" s="68"/>
      <c r="F11" s="68"/>
      <c r="G11" s="124" t="s">
        <v>14</v>
      </c>
      <c r="H11" s="124"/>
      <c r="I11" s="125"/>
      <c r="J11" s="102" t="s">
        <v>140</v>
      </c>
      <c r="K11" s="31" t="e">
        <f t="array" aca="1" ref="K11" ca="1">SUM(
IF(DataD[Measured Rate 
'[% Measured']]&lt;&gt;"NULL",
IF(DataD[NO MAPPING]=ColumnD[[#This Row],[Metric]],
DataD[Measured Rate 
'[% Measured']]*
SUBTOTAL(9,OFFSET(DataD[Total Impressions],ROW(DataD[Total Impressions])-MIN(ROW(DataD[Total Impressions])),0,1)))))
/
SUM(
IF(DataD[Measured Rate 
'[% Measured']]&lt;&gt;"NULL",
IF(DataD[NO MAPPING]=ColumnD[[#This Row],[Metric]],
SUBTOTAL(9,OFFSET(DataD[Total Impressions],ROW(DataD[Total Impressions])-MIN(ROW(DataD[Total Impressions])),0,1)))))</f>
        <v>#DIV/0!</v>
      </c>
      <c r="L11" s="32" t="e">
        <f t="array" aca="1" ref="L11" ca="1">SUM(
IF(DataD[See-Through Rate 
'[% Visible']]&lt;&gt;"NULL",
IF(DataD[NO MAPPING]=ColumnD[[#This Row],[Metric]],
DataD[See-Through Rate 
'[% Visible']]*
SUBTOTAL(9,OFFSET(DataD[Total Impressions],ROW(DataD[Total Impressions])-MIN(ROW(DataD[Total Impressions])),0,1)))))
/
SUM(
IF(DataD[See-Through Rate 
'[% Visible']]&lt;&gt;"NULL",
IF(DataD[NO MAPPING]=ColumnD[[#This Row],[Metric]],
SUBTOTAL(9,OFFSET(DataD[Total Impressions],ROW(DataD[Total Impressions])-MIN(ROW(DataD[Total Impressions])),0,1)))))</f>
        <v>#DIV/0!</v>
      </c>
      <c r="M11" s="32" t="e">
        <f t="array" aca="1" ref="M11" ca="1">SUM(
IF(DataD[Brand Safety 
'[% Passed']]&lt;&gt;"NULL",
IF(DataD[NO MAPPING]=ColumnD[[#This Row],[Metric]],
DataD[Brand Safety 
'[% Passed']]*
SUBTOTAL(9,OFFSET(DataD[Total Impressions],ROW(DataD[Total Impressions])-MIN(ROW(DataD[Total Impressions])),0,1)))))
/
SUM(
IF(DataD[Brand Safety 
'[% Passed']]&lt;&gt;"NULL",
IF(DataD[NO MAPPING]=ColumnD[[#This Row],[Metric]],
SUBTOTAL(9,OFFSET(DataD[Total Impressions],ROW(DataD[Total Impressions])-MIN(ROW(DataD[Total Impressions])),0,1)))))</f>
        <v>#DIV/0!</v>
      </c>
      <c r="N11" s="32" t="e">
        <f t="array" aca="1" ref="N11" ca="1">SUM(
IF(DataD[Brand Safety 
'[% Failed']]&lt;&gt;"NULL",
IF(DataD[NO MAPPING]=ColumnD[[#This Row],[Metric]],
DataD[Brand Safety 
'[% Failed']]*
SUBTOTAL(9,OFFSET(DataD[Total Impressions],ROW(DataD[Total Impressions])-MIN(ROW(DataD[Total Impressions])),0,1)))))
/
SUM(
IF(DataD[Brand Safety 
'[% Failed']]&lt;&gt;"NULL",
IF(DataD[NO MAPPING]=ColumnD[[#This Row],[Metric]],
SUBTOTAL(9,OFFSET(DataD[Total Impressions],ROW(DataD[Total Impressions])-MIN(ROW(DataD[Total Impressions])),0,1)))))</f>
        <v>#DIV/0!</v>
      </c>
      <c r="O11" s="32" t="e">
        <f t="array" aca="1" ref="O11" ca="1">SUM(
IF(DataD[Brand Safety 
'[% Failed by Content']]&lt;&gt;"NULL",
IF(DataD[NO MAPPING]=ColumnD[[#This Row],[Metric]],
DataD[Brand Safety 
'[% Failed by Content']]*
SUBTOTAL(9,OFFSET(DataD[Total Impressions],ROW(DataD[Total Impressions])-MIN(ROW(DataD[Total Impressions])),0,1)))))
/
SUM(
IF(DataD[Brand Safety 
'[% Failed by Content']]&lt;&gt;"NULL",
IF(DataD[NO MAPPING]=ColumnD[[#This Row],[Metric]],
SUBTOTAL(9,OFFSET(DataD[Total Impressions],ROW(DataD[Total Impressions])-MIN(ROW(DataD[Total Impressions])),0,1)))))</f>
        <v>#DIV/0!</v>
      </c>
      <c r="P11" s="32" t="e">
        <f t="array" aca="1" ref="P11" ca="1">SUM(
IF(DataD[Brand Safety 
'[% Failed by Geo']]&lt;&gt;"NULL",
IF(DataD[NO MAPPING]=ColumnD[[#This Row],[Metric]],
DataD[Brand Safety 
'[% Failed by Geo']]*
SUBTOTAL(9,OFFSET(DataD[Total Impressions],ROW(DataD[Total Impressions])-MIN(ROW(DataD[Total Impressions])),0,1)))))
/
SUM(
IF(DataD[Brand Safety 
'[% Failed by Geo']]&lt;&gt;"NULL",
IF(DataD[NO MAPPING]=ColumnD[[#This Row],[Metric]],
SUBTOTAL(9,OFFSET(DataD[Total Impressions],ROW(DataD[Total Impressions])-MIN(ROW(DataD[Total Impressions])),0,1)))))</f>
        <v>#DIV/0!</v>
      </c>
      <c r="Q11" s="32" t="e">
        <f t="array" aca="1" ref="Q11" ca="1">SUM(
IF(DataD[Brand Safety 
'[% Failed by Keyword']]&lt;&gt;"NULL",
IF(DataD[NO MAPPING]=ColumnD[[#This Row],[Metric]],
DataD[Brand Safety 
'[% Failed by Keyword']]*
SUBTOTAL(9,OFFSET(DataD[Total Impressions],ROW(DataD[Total Impressions])-MIN(ROW(DataD[Total Impressions])),0,1)))))
/
SUM(
IF(DataD[Brand Safety 
'[% Failed by Keyword']]&lt;&gt;"NULL",
IF(DataD[NO MAPPING]=ColumnD[[#This Row],[Metric]],
SUBTOTAL(9,OFFSET(DataD[Total Impressions],ROW(DataD[Total Impressions])-MIN(ROW(DataD[Total Impressions])),0,1)))))</f>
        <v>#DIV/0!</v>
      </c>
      <c r="R11" s="32" t="e">
        <f t="array" aca="1" ref="R11" ca="1">SUM(
IF(DataD[Brand Safety 
'[% Failed by Blacklist']]&lt;&gt;"NULL",
IF(DataD[NO MAPPING]=ColumnD[[#This Row],[Metric]],
DataD[Brand Safety 
'[% Failed by Blacklist']]*
SUBTOTAL(9,OFFSET(DataD[Total Impressions],ROW(DataD[Total Impressions])-MIN(ROW(DataD[Total Impressions])),0,1)))))
/
SUM(
IF(DataD[Brand Safety 
'[% Failed by Blacklist']]&lt;&gt;"NULL",
IF(DataD[NO MAPPING]=ColumnD[[#This Row],[Metric]],
SUBTOTAL(9,OFFSET(DataD[Total Impressions],ROW(DataD[Total Impressions])-MIN(ROW(DataD[Total Impressions])),0,1)))))</f>
        <v>#DIV/0!</v>
      </c>
      <c r="S11" s="32" t="e">
        <f t="array" aca="1" ref="S11" ca="1">SUM(
IF(DataD[Brand Safety 
'[% Failed by Language']]&lt;&gt;"NULL",
IF(DataD[NO MAPPING]=ColumnD[[#This Row],[Metric]],
DataD[Brand Safety 
'[% Failed by Language']]*
SUBTOTAL(9,OFFSET(DataD[Total Impressions],ROW(DataD[Total Impressions])-MIN(ROW(DataD[Total Impressions])),0,1)))))
/
SUM(
IF(DataD[Brand Safety 
'[% Failed by Language']]&lt;&gt;"NULL",
IF(DataD[NO MAPPING]=ColumnD[[#This Row],[Metric]],
SUBTOTAL(9,OFFSET(DataD[Total Impressions],ROW(DataD[Total Impressions])-MIN(ROW(DataD[Total Impressions])),0,1)))))</f>
        <v>#DIV/0!</v>
      </c>
      <c r="T11" s="32" t="e">
        <f t="array" aca="1" ref="T11" ca="1">SUM(
IF(DataD[Fraud 
'[% Fraud']]&lt;&gt;"NULL",
IF(DataD[NO MAPPING]=ColumnD[[#This Row],[Metric]],
DataD[Fraud 
'[% Fraud']]*
SUBTOTAL(9,OFFSET(DataD[Total Impressions],ROW(DataD[Total Impressions])-MIN(ROW(DataD[Total Impressions])),0,1)))))
/
SUM(
IF(DataD[Fraud 
'[% Fraud']]&lt;&gt;"NULL",
IF(DataD[NO MAPPING]=ColumnD[[#This Row],[Metric]],
SUBTOTAL(9,OFFSET(DataD[Total Impressions],ROW(DataD[Total Impressions])-MIN(ROW(DataD[Total Impressions])),0,1)))))</f>
        <v>#DIV/0!</v>
      </c>
      <c r="U11" s="32" t="e">
        <f t="array" aca="1" ref="U11" ca="1">SUM(
IF(DataD[Viewability 
'[Total Viewable Rate (Total Net Metrics)']]&lt;&gt;"NULL",
IF(DataD[NO MAPPING]=ColumnD[[#This Row],[Metric]],
DataD[Viewability 
'[Total Viewable Rate (Total Net Metrics)']]*
SUBTOTAL(9,OFFSET(DataD[Total Impressions],ROW(DataD[Total Impressions])-MIN(ROW(DataD[Total Impressions])),0,1)))))
/
SUM(
IF(DataD[Viewability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V11" s="32" t="e">
        <f t="array" aca="1" ref="V11" ca="1">SUM(
IF(DataD[Display Viewability 
'[Total Viewable Rate (Total Net Metrics)']]&lt;&gt;"NULL",
IF(DataD[NO MAPPING]=ColumnD[[#This Row],[Metric]],
DataD[Display Viewability 
'[Total Viewable Rate (Total Net Metrics)']]*
SUBTOTAL(9,OFFSET(DataD[Total Impressions],ROW(DataD[Total Impressions])-MIN(ROW(DataD[Total Impressions])),0,1)))))
/
SUM(
IF(DataD[Display 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W11" s="32" t="e">
        <f t="array" aca="1" ref="W11" ca="1">SUM(
IF(DataD[Video Viewability 
'[Total Viewable Rate (Total Net Metrics)']]&lt;&gt;"NULL",
IF(DataD[NO MAPPING]=ColumnD[[#This Row],[Metric]],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X11" s="32" t="e">
        <f t="array" aca="1" ref="X11" ca="1">SUM(
IF(DataD[GroupM Viewability 
'[% Display Ads Fully in View']]&lt;&gt;"NULL",
IF(DataD[NO MAPPING]=ColumnD[[#This Row],[Metric]],
DataD[GroupM Viewability 
'[% Display Ads Fully in View']]*
SUBTOTAL(9,OFFSET(DataD[Total Impressions],ROW(DataD[Total Impressions])-MIN(ROW(DataD[Total Impressions])),0,1)))))
/
SUM(
IF(DataD[GroupM Viewability 
'[% Display Ads Fully in View']]&lt;&gt;"NULL",
IF(DataD[NO MAPPING]=ColumnD[[#This Row],[Metric]],
SUBTOTAL(9,OFFSET(DataD[Total Impressions],ROW(DataD[Total Impressions])-MIN(ROW(DataD[Total Impressions])),0,1)))))</f>
        <v>#DIV/0!</v>
      </c>
      <c r="Y11" s="32" t="e">
        <f t="array" aca="1" ref="Y11" ca="1">SUM(
IF(DataD[GroupM Viewability 
'[% Videos Fully in View']]&lt;&gt;"NULL",
IF(DataD[NO MAPPING]=ColumnD[[#This Row],[Metric]],
DataD[GroupM Viewability 
'[% Videos Fully in View']]*
SUBTOTAL(9,OFFSET(DataD[Total Impressions],ROW(DataD[Total Impressions])-MIN(ROW(DataD[Total Impressions])),0,1)))))
/
SUM(
IF(DataD[GroupM Viewability 
'[% Videos Fully in View']]&lt;&gt;"NULL",
IF(DataD[NO MAPPING]=ColumnD[[#This Row],[Metric]],
SUBTOTAL(9,OFFSET(DataD[Total Impressions],ROW(DataD[Total Impressions])-MIN(ROW(DataD[Total Impressions])),0,1)))))</f>
        <v>#DIV/0!</v>
      </c>
      <c r="Z11" s="32" t="e">
        <f t="array" aca="1" ref="Z11" ca="1">SUM(
IF(DataD[Publicis Viewability 
'[% Display Ads Fully in View']]&lt;&gt;"NULL",
IF(DataD[NO MAPPING]=ColumnD[[#This Row],[Metric]],
DataD[Publicis Viewability 
'[% Display Ads Fully in View']]*
SUBTOTAL(9,OFFSET(DataD[Total Impressions],ROW(DataD[Total Impressions])-MIN(ROW(DataD[Total Impressions])),0,1)))))
/
SUM(
IF(DataD[Publicis Viewability 
'[% Display Ads Fully in View']]&lt;&gt;"NULL",
IF(DataD[NO MAPPING]=ColumnD[[#This Row],[Metric]],
SUBTOTAL(9,OFFSET(DataD[Total Impressions],ROW(DataD[Total Impressions])-MIN(ROW(DataD[Total Impressions])),0,1)))))</f>
        <v>#DIV/0!</v>
      </c>
      <c r="AA11" s="32" t="e">
        <f t="array" aca="1" ref="AA11" ca="1">SUM(
IF(DataD[Publicis Viewability 
'[% Videos Fully in View']]&lt;&gt;"NULL",
IF(DataD[NO MAPPING]=ColumnD[[#This Row],[Metric]],
DataD[Publicis Viewability 
'[% Videos Fully in View']]*
SUBTOTAL(9,OFFSET(DataD[Total Impressions],ROW(DataD[Total Impressions])-MIN(ROW(DataD[Total Impressions])),0,1)))))
/
SUM(
IF(DataD[Publicis Viewability 
'[% Videos Fully in View']]&lt;&gt;"NULL",
IF(DataD[NO MAPPING]=ColumnD[[#This Row],[Metric]],
SUBTOTAL(9,OFFSET(DataD[Total Impressions],ROW(DataD[Total Impressions])-MIN(ROW(DataD[Total Impressions])),0,1)))))</f>
        <v>#DIV/0!</v>
      </c>
      <c r="AB11" s="26"/>
    </row>
    <row r="12" spans="1:121" s="18" customFormat="1" ht="16.5" hidden="1" customHeight="1" x14ac:dyDescent="0.35">
      <c r="A12" s="27"/>
      <c r="B12" s="28"/>
      <c r="C12" s="98"/>
      <c r="D12" s="28"/>
      <c r="E12" s="28"/>
      <c r="F12" s="28"/>
      <c r="G12" s="242" t="s">
        <v>8</v>
      </c>
      <c r="H12" s="242"/>
      <c r="I12" s="250"/>
      <c r="J12" s="106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6.5" hidden="1" customHeight="1" x14ac:dyDescent="0.35">
      <c r="A13" s="22"/>
      <c r="B13" s="28"/>
      <c r="C13" s="98"/>
      <c r="D13" s="28"/>
      <c r="E13" s="28"/>
      <c r="F13" s="28"/>
      <c r="G13" s="242" t="s">
        <v>8</v>
      </c>
      <c r="H13" s="242"/>
      <c r="I13" s="250"/>
      <c r="J13" s="104" t="s">
        <v>6</v>
      </c>
      <c r="K13" s="105">
        <v>0</v>
      </c>
      <c r="L13" s="105">
        <v>0</v>
      </c>
      <c r="M13" s="105">
        <v>0</v>
      </c>
      <c r="N13" s="105">
        <v>0</v>
      </c>
      <c r="O13" s="105">
        <v>0</v>
      </c>
      <c r="P13" s="105">
        <v>0</v>
      </c>
      <c r="Q13" s="105">
        <v>0</v>
      </c>
      <c r="R13" s="105">
        <v>0</v>
      </c>
      <c r="S13" s="105">
        <v>0</v>
      </c>
      <c r="T13" s="105">
        <v>0</v>
      </c>
      <c r="U13" s="105">
        <v>0</v>
      </c>
      <c r="V13" s="105">
        <v>0</v>
      </c>
      <c r="W13" s="105">
        <v>0</v>
      </c>
      <c r="X13" s="105">
        <v>0</v>
      </c>
      <c r="Y13" s="105">
        <v>0</v>
      </c>
      <c r="Z13" s="105">
        <v>1</v>
      </c>
      <c r="AA13" s="105">
        <v>0</v>
      </c>
      <c r="AB13" s="26"/>
    </row>
    <row r="14" spans="1:121" s="18" customFormat="1" ht="15.75" customHeight="1" thickBot="1" x14ac:dyDescent="0.4">
      <c r="B14" s="72" t="s">
        <v>21</v>
      </c>
      <c r="C14" s="99"/>
      <c r="D14" s="72" t="s">
        <v>21</v>
      </c>
      <c r="E14" s="72" t="s">
        <v>21</v>
      </c>
      <c r="F14" s="72" t="s">
        <v>21</v>
      </c>
      <c r="G14" s="55"/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152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IF(DataD[[#This Row],[Team]]&lt;&gt;"","N/A","")</f>
        <v>N/A</v>
      </c>
      <c r="C16" s="46" t="s">
        <v>10</v>
      </c>
      <c r="D16" s="46" t="s">
        <v>10</v>
      </c>
      <c r="E16" s="46" t="s">
        <v>10</v>
      </c>
      <c r="F16" s="46" t="s">
        <v>10</v>
      </c>
      <c r="G16" s="46" t="s">
        <v>126</v>
      </c>
      <c r="H16" s="46" t="s">
        <v>10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5">
    <mergeCell ref="G6:I6"/>
    <mergeCell ref="G7:I7"/>
    <mergeCell ref="G8:I8"/>
    <mergeCell ref="G13:I13"/>
    <mergeCell ref="G12:I12"/>
  </mergeCells>
  <conditionalFormatting sqref="K16:AA16">
    <cfRule type="cellIs" dxfId="24" priority="8" operator="equal">
      <formula>""</formula>
    </cfRule>
  </conditionalFormatting>
  <conditionalFormatting sqref="A1:XFD6 A8:XFD1048576 A7:J7 AB7:XFD7">
    <cfRule type="expression" dxfId="23" priority="7">
      <formula>ISERROR(A1)</formula>
    </cfRule>
  </conditionalFormatting>
  <conditionalFormatting sqref="K16:AA16 K9:AA11">
    <cfRule type="expression" dxfId="22" priority="10">
      <formula>IF(K$7="N/A",0,IF(K$7="Above",K9&lt;=(1-$J$4)*K$8,K9&gt;=(1+$J$4)*K$8))</formula>
    </cfRule>
    <cfRule type="expression" dxfId="21" priority="11">
      <formula>IF(OR(K$7="N/A",K9=0),0,IF(K$7="Above",K9&gt;=(1+$J$3)*K$8,K9&lt;=(1-$J$3)*K$8))</formula>
    </cfRule>
  </conditionalFormatting>
  <conditionalFormatting sqref="K7:AA7">
    <cfRule type="expression" dxfId="20" priority="1">
      <formula>ISERROR(K7)</formula>
    </cfRule>
  </conditionalFormatting>
  <dataValidations count="7">
    <dataValidation allowBlank="1" showInputMessage="1" showErrorMessage="1" errorTitle="Invalid Entry" error="Please select/enter a value from 1 to 5 from the dropdown." sqref="J9 K10:AA11 G9:G11 AB12:XFD13 J11 A13" xr:uid="{00000000-0002-0000-0500-000000000000}"/>
    <dataValidation type="list" allowBlank="1" showInputMessage="1" showErrorMessage="1" errorTitle="Invalid Entry" error="Please select/enter a value from 1 to 5 from the dropdown." sqref="J10" xr:uid="{00000000-0002-0000-05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5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5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500-000005000000}"/>
    <dataValidation allowBlank="1" showInputMessage="1" showErrorMessage="1" prompt="Cell will highlight red if performance deviates by more than this percentage of the client goal." sqref="J4" xr:uid="{00000000-0002-0000-0500-000006000000}"/>
    <dataValidation type="list" allowBlank="1" showInputMessage="1" showErrorMessage="1" sqref="X27" xr:uid="{00000000-0002-0000-0500-000003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29FAD5BF-0D0A-4481-B86D-3B471B562727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30.453125" style="50" hidden="1" customWidth="1"/>
    <col min="4" max="4" width="49.453125" style="50" customWidth="1"/>
    <col min="5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2"/>
      <c r="C1" s="12"/>
      <c r="D1" s="11"/>
      <c r="E1" s="13" t="s">
        <v>21</v>
      </c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2"/>
      <c r="C2" s="12"/>
      <c r="D2" s="11"/>
      <c r="E2" s="16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2"/>
      <c r="C3" s="12"/>
      <c r="D3" s="11"/>
      <c r="E3" s="16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2"/>
      <c r="C4" s="12"/>
      <c r="D4" s="11"/>
      <c r="E4" s="16"/>
      <c r="F4" s="16"/>
      <c r="G4" s="52"/>
      <c r="H4" s="16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2"/>
      <c r="C5" s="12"/>
      <c r="D5" s="11"/>
      <c r="E5" s="16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80" t="s">
        <v>155</v>
      </c>
      <c r="C6" s="80"/>
      <c r="D6" s="80" t="s">
        <v>155</v>
      </c>
      <c r="E6" s="70"/>
      <c r="F6" s="70"/>
      <c r="G6" s="254" t="s">
        <v>133</v>
      </c>
      <c r="H6" s="255"/>
      <c r="I6" s="256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27"/>
      <c r="B7" s="237"/>
      <c r="C7" s="237"/>
      <c r="D7" s="237"/>
      <c r="E7" s="70"/>
      <c r="F7" s="70"/>
      <c r="G7" s="251" t="s">
        <v>132</v>
      </c>
      <c r="H7" s="252"/>
      <c r="I7" s="253"/>
      <c r="J7" s="54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</row>
    <row r="8" spans="1:121" s="18" customFormat="1" ht="15.65" customHeight="1" x14ac:dyDescent="0.35">
      <c r="A8" s="22"/>
      <c r="B8" s="81"/>
      <c r="C8" s="81"/>
      <c r="D8" s="81" t="str">
        <f ca="1">MID(CELL("filename",A1),FIND("]",CELL("filename",A1))+1,255)&amp;" Level Scorecard"</f>
        <v>Campaign &amp; Device Level Scorecard</v>
      </c>
      <c r="E8" s="70"/>
      <c r="F8" s="70"/>
      <c r="G8" s="231" t="s">
        <v>132</v>
      </c>
      <c r="H8" s="232"/>
      <c r="I8" s="258"/>
      <c r="J8" s="127" t="s">
        <v>16</v>
      </c>
      <c r="K8" s="128">
        <f>VLOOKUP(K6,Benchmark_Legend[],MATCH(ColumnCD[[#This Row],[Metric]],Benchmark_Legend[#Headers],0),0)</f>
        <v>0.7</v>
      </c>
      <c r="L8" s="128">
        <f>VLOOKUP(L6,Benchmark_Legend[],MATCH(ColumnCD[[#This Row],[Metric]],Benchmark_Legend[#Headers],0),0)</f>
        <v>0.98</v>
      </c>
      <c r="M8" s="128">
        <f>VLOOKUP(M6,Benchmark_Legend[],MATCH(ColumnCD[[#This Row],[Metric]],Benchmark_Legend[#Headers],0),0)</f>
        <v>0.95</v>
      </c>
      <c r="N8" s="128">
        <f>VLOOKUP(N6,Benchmark_Legend[],MATCH(ColumnCD[[#This Row],[Metric]],Benchmark_Legend[#Headers],0),0)</f>
        <v>0.05</v>
      </c>
      <c r="O8" s="128">
        <f>VLOOKUP(O6,Benchmark_Legend[],MATCH(ColumnCD[[#This Row],[Metric]],Benchmark_Legend[#Headers],0),0)</f>
        <v>0.02</v>
      </c>
      <c r="P8" s="128">
        <f>VLOOKUP(P6,Benchmark_Legend[],MATCH(ColumnCD[[#This Row],[Metric]],Benchmark_Legend[#Headers],0),0)</f>
        <v>0.02</v>
      </c>
      <c r="Q8" s="128">
        <f>VLOOKUP(Q6,Benchmark_Legend[],MATCH(ColumnCD[[#This Row],[Metric]],Benchmark_Legend[#Headers],0),0)</f>
        <v>0.01</v>
      </c>
      <c r="R8" s="128">
        <f>VLOOKUP(R6,Benchmark_Legend[],MATCH(ColumnCD[[#This Row],[Metric]],Benchmark_Legend[#Headers],0),0)</f>
        <v>0.01</v>
      </c>
      <c r="S8" s="128">
        <f>VLOOKUP(S6,Benchmark_Legend[],MATCH(ColumnCD[[#This Row],[Metric]],Benchmark_Legend[#Headers],0),0)</f>
        <v>0.01</v>
      </c>
      <c r="T8" s="128">
        <f>VLOOKUP(T6,Benchmark_Legend[],MATCH(ColumnCD[[#This Row],[Metric]],Benchmark_Legend[#Headers],0),0)</f>
        <v>0.03</v>
      </c>
      <c r="U8" s="128">
        <f>VLOOKUP(U6,Benchmark_Legend[],MATCH(ColumnCD[[#This Row],[Metric]],Benchmark_Legend[#Headers],0),0)</f>
        <v>0.55000000000000004</v>
      </c>
      <c r="V8" s="128">
        <f>VLOOKUP(V6,Benchmark_Legend[],MATCH(ColumnCD[[#This Row],[Metric]],Benchmark_Legend[#Headers],0),0)</f>
        <v>0.6</v>
      </c>
      <c r="W8" s="128">
        <f>VLOOKUP(W6,Benchmark_Legend[],MATCH(ColumnCD[[#This Row],[Metric]],Benchmark_Legend[#Headers],0),0)</f>
        <v>0.5</v>
      </c>
      <c r="X8" s="128">
        <f>VLOOKUP(X6,Benchmark_Legend[],MATCH(ColumnCD[[#This Row],[Metric]],Benchmark_Legend[#Headers],0),0)</f>
        <v>0.35</v>
      </c>
      <c r="Y8" s="128">
        <f>VLOOKUP(Y6,Benchmark_Legend[],MATCH(ColumnCD[[#This Row],[Metric]],Benchmark_Legend[#Headers],0),0)</f>
        <v>0.25</v>
      </c>
      <c r="Z8" s="128">
        <f>VLOOKUP(Z6,Benchmark_Legend[],MATCH(ColumnCD[[#This Row],[Metric]],Benchmark_Legend[#Headers],0),0)</f>
        <v>0.35</v>
      </c>
      <c r="AA8" s="128">
        <f>VLOOKUP(AA6,Benchmark_Legend[],MATCH(ColumnCD[[#This Row],[Metric]],Benchmark_Legend[#Headers],0),0)</f>
        <v>0.25</v>
      </c>
    </row>
    <row r="9" spans="1:121" s="18" customFormat="1" ht="15.65" customHeight="1" thickBot="1" x14ac:dyDescent="0.4">
      <c r="B9" s="81"/>
      <c r="C9" s="81"/>
      <c r="D9" s="81" t="s">
        <v>154</v>
      </c>
      <c r="E9" s="68"/>
      <c r="F9" s="68"/>
      <c r="G9" s="118" t="s">
        <v>14</v>
      </c>
      <c r="H9" s="119"/>
      <c r="I9" s="120"/>
      <c r="J9" s="113" t="s">
        <v>130</v>
      </c>
      <c r="K9" s="100">
        <f t="array" aca="1" ref="K9" ca="1">SUM(
IF((DataCD[Measured Rate 
'[% Measured']]&lt;&gt;"NULL"),
DataCD[Measured Rate 
'[% Measured']]*
SUBTOTAL(9,OFFSET(DataCD[Total Impressions],ROW(DataCD[Total Impressions])-MIN(ROW(DataCD[Total Impressions])),0,1))))
/
SUM(
IF((DataCD[Measured Rate 
'[% Measured']]&lt;&gt;"NULL"),
SUBTOTAL(9,OFFSET(DataCD[Total Impressions],ROW(DataCD[Total Impressions])-MIN(ROW(DataCD[Total Impressions])),0,1))))</f>
        <v>0.7</v>
      </c>
      <c r="L9" s="100">
        <f t="array" aca="1" ref="L9" ca="1">SUM(
IF((DataCD[See-Through Rate 
'[% Visible']]&lt;&gt;"NULL"),
DataCD[See-Through Rate 
'[% Visible']]*
SUBTOTAL(9,OFFSET(DataCD[Total Impressions],ROW(DataCD[Total Impressions])-MIN(ROW(DataCD[Total Impressions])),0,1))))
/
SUM(
IF((DataCD[See-Through Rate 
'[% Visible']]&lt;&gt;"NULL"),
SUBTOTAL(9,OFFSET(DataCD[Total Impressions],ROW(DataCD[Total Impressions])-MIN(ROW(DataCD[Total Impressions])),0,1))))</f>
        <v>0.98</v>
      </c>
      <c r="M9" s="112">
        <f t="array" aca="1" ref="M9" ca="1">SUM(
IF((DataCD[Brand Safety 
'[% Passed']]&lt;&gt;"NULL"),
DataCD[Brand Safety 
'[% Passed']]*
SUBTOTAL(9,OFFSET(DataCD[Total Impressions],ROW(DataCD[Total Impressions])-MIN(ROW(DataCD[Total Impressions])),0,1))))
/
SUM(
IF((DataCD[Brand Safety 
'[% Passed']]&lt;&gt;"NULL"),
SUBTOTAL(9,OFFSET(DataCD[Total Impressions],ROW(DataCD[Total Impressions])-MIN(ROW(DataCD[Total Impressions])),0,1))))</f>
        <v>0.95</v>
      </c>
      <c r="N9" s="112">
        <f t="array" aca="1" ref="N9" ca="1">SUM(
IF((DataCD[Brand Safety 
'[% Failed']]&lt;&gt;"NULL"),
DataCD[Brand Safety 
'[% Failed']]*
SUBTOTAL(9,OFFSET(DataCD[Total Impressions],ROW(DataCD[Total Impressions])-MIN(ROW(DataCD[Total Impressions])),0,1))))
/
SUM(
IF((DataCD[Brand Safety 
'[% Failed']]&lt;&gt;"NULL"),
SUBTOTAL(9,OFFSET(DataCD[Total Impressions],ROW(DataCD[Total Impressions])-MIN(ROW(DataCD[Total Impressions])),0,1))))</f>
        <v>0.05</v>
      </c>
      <c r="O9" s="112">
        <f t="array" aca="1" ref="O9" ca="1">SUM(
IF((DataCD[Brand Safety 
'[% Failed by Content']]&lt;&gt;"NULL"),
DataCD[Brand Safety 
'[% Failed by Content']]*
SUBTOTAL(9,OFFSET(DataCD[Total Impressions],ROW(DataCD[Total Impressions])-MIN(ROW(DataCD[Total Impressions])),0,1))))
/
SUM(
IF((DataCD[Brand Safety 
'[% Failed by Content']]&lt;&gt;"NULL"),
SUBTOTAL(9,OFFSET(DataCD[Total Impressions],ROW(DataCD[Total Impressions])-MIN(ROW(DataCD[Total Impressions])),0,1))))</f>
        <v>0.02</v>
      </c>
      <c r="P9" s="112">
        <f t="array" aca="1" ref="P9" ca="1">SUM(
IF((DataCD[Brand Safety 
'[% Failed by Geo']]&lt;&gt;"NULL"),
DataCD[Brand Safety 
'[% Failed by Geo']]*
SUBTOTAL(9,OFFSET(DataCD[Total Impressions],ROW(DataCD[Total Impressions])-MIN(ROW(DataCD[Total Impressions])),0,1))))
/
SUM(
IF((DataCD[Brand Safety 
'[% Failed by Geo']]&lt;&gt;"NULL"),
SUBTOTAL(9,OFFSET(DataCD[Total Impressions],ROW(DataCD[Total Impressions])-MIN(ROW(DataCD[Total Impressions])),0,1))))</f>
        <v>0.02</v>
      </c>
      <c r="Q9" s="100">
        <f t="array" aca="1" ref="Q9" ca="1">SUM(
IF((DataCD[Brand Safety 
'[% Failed by Keyword']]&lt;&gt;"NULL"),
DataCD[Brand Safety 
'[% Failed by Keyword']]*
SUBTOTAL(9,OFFSET(DataCD[Total Impressions],ROW(DataCD[Total Impressions])-MIN(ROW(DataCD[Total Impressions])),0,1))))
/
SUM(
IF((DataCD[Brand Safety 
'[% Failed by Keyword']]&lt;&gt;"NULL"),
SUBTOTAL(9,OFFSET(DataCD[Total Impressions],ROW(DataCD[Total Impressions])-MIN(ROW(DataCD[Total Impressions])),0,1))))</f>
        <v>0.01</v>
      </c>
      <c r="R9" s="100">
        <f t="array" aca="1" ref="R9" ca="1">SUM(
IF((DataCD[Brand Safety 
'[% Failed by Blacklist']]&lt;&gt;"NULL"),
DataCD[Brand Safety 
'[% Failed by Blacklist']]*
SUBTOTAL(9,OFFSET(DataCD[Total Impressions],ROW(DataCD[Total Impressions])-MIN(ROW(DataCD[Total Impressions])),0,1))))
/
SUM(
IF((DataCD[Brand Safety 
'[% Failed by Blacklist']]&lt;&gt;"NULL"),
SUBTOTAL(9,OFFSET(DataCD[Total Impressions],ROW(DataCD[Total Impressions])-MIN(ROW(DataCD[Total Impressions])),0,1))))</f>
        <v>0.01</v>
      </c>
      <c r="S9" s="100">
        <f t="array" aca="1" ref="S9" ca="1">SUM(
IF((DataCD[Brand Safety 
'[% Failed by Language']]&lt;&gt;"NULL"),
DataCD[Brand Safety 
'[% Failed by Language']]*
SUBTOTAL(9,OFFSET(DataCD[Total Impressions],ROW(DataCD[Total Impressions])-MIN(ROW(DataCD[Total Impressions])),0,1))))
/
SUM(
IF((DataCD[Brand Safety 
'[% Failed by Language']]&lt;&gt;"NULL"),
SUBTOTAL(9,OFFSET(DataCD[Total Impressions],ROW(DataCD[Total Impressions])-MIN(ROW(DataCD[Total Impressions])),0,1))))</f>
        <v>0.01</v>
      </c>
      <c r="T9" s="100">
        <f t="array" aca="1" ref="T9" ca="1">SUM(
IF((DataCD[Fraud 
'[% Fraud']]&lt;&gt;"NULL"),
DataCD[Fraud 
'[% Fraud']]*
SUBTOTAL(9,OFFSET(DataCD[Total Impressions],ROW(DataCD[Total Impressions])-MIN(ROW(DataCD[Total Impressions])),0,1))))
/
SUM(
IF((DataCD[Fraud 
'[% Fraud']]&lt;&gt;"NULL"),
SUBTOTAL(9,OFFSET(DataCD[Total Impressions],ROW(DataCD[Total Impressions])-MIN(ROW(DataCD[Total Impressions])),0,1))))</f>
        <v>0.03</v>
      </c>
      <c r="U9" s="100">
        <f t="array" aca="1" ref="U9" ca="1">SUM(
IF((DataCD[Viewability 
'[Total Viewable Rate (Total Net Metrics)']]&lt;&gt;"NULL"),
DataCD[Viewability 
'[Total Viewable Rate (Total Net Metrics)']]*SUBTOTAL(9,OFFSET(DataCD[Measured Impressions],ROW(DataCD[Measured Impressions])-MIN(ROW(DataCD[Measured Impressions])),0,1))))
/
SUM(
IF((DataCD[Viewability 
'[Total Viewable Rate (Total Net Metrics)']]&lt;&gt;"NULL"),
SUBTOTAL(9,OFFSET(DataCD[Measured Impressions],ROW(DataCD[Measured Impressions])-MIN(ROW(DataCD[Measured Impressions])),0,1))))</f>
        <v>0.55000000000000004</v>
      </c>
      <c r="V9" s="100">
        <f t="array" aca="1" ref="V9" ca="1">SUM(
IF((DataCD[Display Viewability 
'[Total Viewable Rate (Total Net Metrics)']]&lt;&gt;"NULL"),
DataCD[Display Viewability 
'[Total Viewable Rate (Total Net Metrics)']]*SUBTOTAL(9,OFFSET(DataCD[Measured Impressions],ROW(DataCD[Measured Impressions])-MIN(ROW(DataCD[Measured Impressions])),0,1))))
/
SUM(
IF((DataCD[Display Viewability 
'[Total Viewable Rate (Total Net Metrics)']]&lt;&gt;"NULL"),
SUBTOTAL(9,OFFSET(DataCD[Measured Impressions],ROW(DataCD[Measured Impressions])-MIN(ROW(DataCD[Measured Impressions])),0,1))))</f>
        <v>0.6</v>
      </c>
      <c r="W9" s="112">
        <f t="array" aca="1" ref="W9" ca="1">SUM(
IF((DataCD[Video Viewability 
'[Total Viewable Rate (Total Net Metrics)']]&lt;&gt;"NULL"),
DataCD[Video Viewability 
'[Total Viewable Rate (Total Net Metrics)']]*SUBTOTAL(9,OFFSET(DataCD[Measured Impressions],ROW(DataCD[Measured Impressions])-MIN(ROW(DataCD[Measured Impressions])),0,1))))
/
SUM(
IF((DataCD[Video Viewability 
'[Total Viewable Rate (Total Net Metrics)']]&lt;&gt;"NULL"),
SUBTOTAL(9,OFFSET(DataCD[Measured Impressions],ROW(DataCD[Measured Impressions])-MIN(ROW(DataCD[Measured Impressions])),0,1))))</f>
        <v>0.5</v>
      </c>
      <c r="X9" s="100">
        <f t="array" aca="1" ref="X9" ca="1">SUM(
IF((DataCD[GroupM Viewability 
'[% Display Ads Fully in View']]&lt;&gt;"NULL"),
DataCD[GroupM Viewability 
'[% Display Ads Fully in View']]*SUBTOTAL(9,OFFSET(DataCD[Measured Impressions],ROW(DataCD[Measured Impressions])-MIN(ROW(DataCD[Measured Impressions])),0,1))))
/
SUM(
IF((DataCD[GroupM Viewability 
'[% Display Ads Fully in View']]&lt;&gt;"NULL"),
SUBTOTAL(9,OFFSET(DataCD[Measured Impressions],ROW(DataCD[Measured Impressions])-MIN(ROW(DataCD[Measured Impressions])),0,1))))</f>
        <v>0.35</v>
      </c>
      <c r="Y9" s="112">
        <f t="array" aca="1" ref="Y9" ca="1">SUM(
IF((DataCD[GroupM Viewability 
'[% Videos Fully in View']]&lt;&gt;"NULL"),
DataCD[GroupM Viewability 
'[% Videos Fully in View']]*SUBTOTAL(9,OFFSET(DataCD[Measured Impressions],ROW(DataCD[Measured Impressions])-MIN(ROW(DataCD[Measured Impressions])),0,1))))
/
SUM(
IF((DataCD[GroupM Viewability 
'[% Videos Fully in View']]&lt;&gt;"NULL"),
SUBTOTAL(9,OFFSET(DataCD[Measured Impressions],ROW(DataCD[Measured Impressions])-MIN(ROW(DataCD[Measured Impressions])),0,1))))</f>
        <v>0.25</v>
      </c>
      <c r="Z9" s="100">
        <f t="array" aca="1" ref="Z9" ca="1">SUM(
IF((DataCD[Publicis Viewability 
'[% Display Ads Fully in View']]&lt;&gt;"NULL"),
DataCD[Publicis Viewability 
'[% Display Ads Fully in View']]*SUBTOTAL(9,OFFSET(DataCD[Measured Impressions],ROW(DataCD[Measured Impressions])-MIN(ROW(DataCD[Measured Impressions])),0,1))))
/
SUM(
IF((DataCD[Publicis Viewability 
'[% Display Ads Fully in View']]&lt;&gt;"NULL"),
SUBTOTAL(9,OFFSET(DataCD[Measured Impressions],ROW(DataCD[Measured Impressions])-MIN(ROW(DataCD[Measured Impressions])),0,1))))</f>
        <v>0.35</v>
      </c>
      <c r="AA9" s="100">
        <f t="array" aca="1" ref="AA9" ca="1">SUM(
IF((DataCD[Publicis Viewability 
'[% Videos Fully in View']]&lt;&gt;"NULL"),
DataCD[Publicis Viewability 
'[% Videos Fully in View']]*SUBTOTAL(9,OFFSET(DataCD[Measured Impressions],ROW(DataCD[Measured Impressions])-MIN(ROW(DataCD[Measured Impressions])),0,1))))
/
SUM(
IF((DataCD[Publicis Viewability 
'[% Videos Fully in View']]&lt;&gt;"NULL"),
SUBTOTAL(9,OFFSET(DataCD[Measured Impressions],ROW(DataCD[Measured Impressions])-MIN(ROW(DataCD[Measured Impressions])),0,1))))</f>
        <v>0.25</v>
      </c>
    </row>
    <row r="10" spans="1:121" s="18" customFormat="1" ht="15.75" hidden="1" customHeight="1" x14ac:dyDescent="0.35">
      <c r="A10" s="67"/>
      <c r="B10" s="68"/>
      <c r="C10" s="66"/>
      <c r="D10" s="68"/>
      <c r="E10" s="68"/>
      <c r="F10" s="68"/>
      <c r="G10" s="116"/>
      <c r="H10" s="116"/>
      <c r="I10" s="117"/>
      <c r="J10" s="102" t="s">
        <v>126</v>
      </c>
      <c r="K10" s="31">
        <f t="array" aca="1" ref="K10" ca="1">SUM(
IF(DataCD[Measured Rate 
'[% Measured']]&lt;&gt;"NULL",
IF(DataCD[Device Type]=ColumnCD[[#This Row],[Metric]],
DataCD[Measured Rate 
'[% Measured']]*
SUBTOTAL(9,OFFSET(DataCD[Total Impressions],ROW(DataCD[Total Impressions])-MIN(ROW(DataCD[Total Impressions])),0,1)))))
/
SUM(
IF(DataCD[Measured Rate 
'[% Measured']]&lt;&gt;"NULL",
IF(DataCD[Device Type]=ColumnCD[[#This Row],[Metric]],
SUBTOTAL(9,OFFSET(DataCD[Total Impressions],ROW(DataCD[Total Impressions])-MIN(ROW(DataCD[Total Impressions])),0,1)))))</f>
        <v>0.7</v>
      </c>
      <c r="L10" s="32">
        <f t="array" aca="1" ref="L10" ca="1">SUM(
IF(DataCD[See-Through Rate 
'[% Visible']]&lt;&gt;"NULL",
IF(DataCD[Device Type]=ColumnCD[[#This Row],[Metric]],
DataCD[See-Through Rate 
'[% Visible']]*
SUBTOTAL(9,OFFSET(DataCD[Total Impressions],ROW(DataCD[Total Impressions])-MIN(ROW(DataCD[Total Impressions])),0,1)))))
/
SUM(
IF(DataCD[See-Through Rate 
'[% Visible']]&lt;&gt;"NULL",
IF(DataCD[Device Type]=ColumnCD[[#This Row],[Metric]],
SUBTOTAL(9,OFFSET(DataCD[Total Impressions],ROW(DataCD[Total Impressions])-MIN(ROW(DataCD[Total Impressions])),0,1)))))</f>
        <v>0.98</v>
      </c>
      <c r="M10" s="32">
        <f t="array" aca="1" ref="M10" ca="1">SUM(
IF(DataCD[Brand Safety 
'[% Passed']]&lt;&gt;"NULL",
IF(DataCD[Device Type]=ColumnCD[[#This Row],[Metric]],
DataCD[Brand Safety 
'[% Passed']]*
SUBTOTAL(9,OFFSET(DataCD[Total Impressions],ROW(DataCD[Total Impressions])-MIN(ROW(DataCD[Total Impressions])),0,1)))))
/
SUM(
IF(DataCD[Brand Safety 
'[% Passed']]&lt;&gt;"NULL",
IF(DataCD[Device Type]=ColumnCD[[#This Row],[Metric]],
SUBTOTAL(9,OFFSET(DataCD[Total Impressions],ROW(DataCD[Total Impressions])-MIN(ROW(DataCD[Total Impressions])),0,1)))))</f>
        <v>0.95</v>
      </c>
      <c r="N10" s="32">
        <f t="array" aca="1" ref="N10" ca="1">SUM(
IF(DataCD[Brand Safety 
'[% Failed']]&lt;&gt;"NULL",
IF(DataCD[Device Type]=ColumnCD[[#This Row],[Metric]],
DataCD[Brand Safety 
'[% Failed']]*
SUBTOTAL(9,OFFSET(DataCD[Total Impressions],ROW(DataCD[Total Impressions])-MIN(ROW(DataCD[Total Impressions])),0,1)))))
/
SUM(
IF(DataCD[Brand Safety 
'[% Failed']]&lt;&gt;"NULL",
IF(DataCD[Device Type]=ColumnCD[[#This Row],[Metric]],
SUBTOTAL(9,OFFSET(DataCD[Total Impressions],ROW(DataCD[Total Impressions])-MIN(ROW(DataCD[Total Impressions])),0,1)))))</f>
        <v>0.05</v>
      </c>
      <c r="O10" s="32">
        <f t="array" aca="1" ref="O10" ca="1">SUM(
IF(DataCD[Brand Safety 
'[% Failed by Content']]&lt;&gt;"NULL",
IF(DataCD[Device Type]=ColumnCD[[#This Row],[Metric]],
DataCD[Brand Safety 
'[% Failed by Content']]*
SUBTOTAL(9,OFFSET(DataCD[Total Impressions],ROW(DataCD[Total Impressions])-MIN(ROW(DataCD[Total Impressions])),0,1)))))
/
SUM(
IF(DataCD[Brand Safety 
'[% Failed by Content']]&lt;&gt;"NULL",
IF(DataCD[Device Type]=ColumnCD[[#This Row],[Metric]],
SUBTOTAL(9,OFFSET(DataCD[Total Impressions],ROW(DataCD[Total Impressions])-MIN(ROW(DataCD[Total Impressions])),0,1)))))</f>
        <v>0.02</v>
      </c>
      <c r="P10" s="32">
        <f t="array" aca="1" ref="P10" ca="1">SUM(
IF(DataCD[Brand Safety 
'[% Failed by Geo']]&lt;&gt;"NULL",
IF(DataCD[Device Type]=ColumnCD[[#This Row],[Metric]],
DataCD[Brand Safety 
'[% Failed by Geo']]*
SUBTOTAL(9,OFFSET(DataCD[Total Impressions],ROW(DataCD[Total Impressions])-MIN(ROW(DataCD[Total Impressions])),0,1)))))
/
SUM(
IF(DataCD[Brand Safety 
'[% Failed by Geo']]&lt;&gt;"NULL",
IF(DataCD[Device Type]=ColumnCD[[#This Row],[Metric]],
SUBTOTAL(9,OFFSET(DataCD[Total Impressions],ROW(DataCD[Total Impressions])-MIN(ROW(DataCD[Total Impressions])),0,1)))))</f>
        <v>0.02</v>
      </c>
      <c r="Q10" s="32">
        <f t="array" aca="1" ref="Q10" ca="1">SUM(
IF(DataCD[Brand Safety 
'[% Failed by Keyword']]&lt;&gt;"NULL",
IF(DataCD[Device Type]=ColumnCD[[#This Row],[Metric]],
DataCD[Brand Safety 
'[% Failed by Keyword']]*
SUBTOTAL(9,OFFSET(DataCD[Total Impressions],ROW(DataCD[Total Impressions])-MIN(ROW(DataCD[Total Impressions])),0,1)))))
/
SUM(
IF(DataCD[Brand Safety 
'[% Failed by Keyword']]&lt;&gt;"NULL",
IF(DataCD[Device Type]=ColumnCD[[#This Row],[Metric]],
SUBTOTAL(9,OFFSET(DataCD[Total Impressions],ROW(DataCD[Total Impressions])-MIN(ROW(DataCD[Total Impressions])),0,1)))))</f>
        <v>0.01</v>
      </c>
      <c r="R10" s="32">
        <f t="array" aca="1" ref="R10" ca="1">SUM(
IF(DataCD[Brand Safety 
'[% Failed by Blacklist']]&lt;&gt;"NULL",
IF(DataCD[Device Type]=ColumnCD[[#This Row],[Metric]],
DataCD[Brand Safety 
'[% Failed by Blacklist']]*
SUBTOTAL(9,OFFSET(DataCD[Total Impressions],ROW(DataCD[Total Impressions])-MIN(ROW(DataCD[Total Impressions])),0,1)))))
/
SUM(
IF(DataCD[Brand Safety 
'[% Failed by Blacklist']]&lt;&gt;"NULL",
IF(DataCD[Device Type]=ColumnCD[[#This Row],[Metric]],
SUBTOTAL(9,OFFSET(DataCD[Total Impressions],ROW(DataCD[Total Impressions])-MIN(ROW(DataCD[Total Impressions])),0,1)))))</f>
        <v>0.01</v>
      </c>
      <c r="S10" s="32">
        <f t="array" aca="1" ref="S10" ca="1">SUM(
IF(DataCD[Brand Safety 
'[% Failed by Language']]&lt;&gt;"NULL",
IF(DataCD[Device Type]=ColumnCD[[#This Row],[Metric]],
DataCD[Brand Safety 
'[% Failed by Language']]*
SUBTOTAL(9,OFFSET(DataCD[Total Impressions],ROW(DataCD[Total Impressions])-MIN(ROW(DataCD[Total Impressions])),0,1)))))
/
SUM(
IF(DataCD[Brand Safety 
'[% Failed by Language']]&lt;&gt;"NULL",
IF(DataCD[Device Type]=ColumnCD[[#This Row],[Metric]],
SUBTOTAL(9,OFFSET(DataCD[Total Impressions],ROW(DataCD[Total Impressions])-MIN(ROW(DataCD[Total Impressions])),0,1)))))</f>
        <v>0.01</v>
      </c>
      <c r="T10" s="32">
        <f t="array" aca="1" ref="T10" ca="1">SUM(
IF(DataCD[Fraud 
'[% Fraud']]&lt;&gt;"NULL",
IF(DataCD[Device Type]=ColumnCD[[#This Row],[Metric]],
DataCD[Fraud 
'[% Fraud']]*
SUBTOTAL(9,OFFSET(DataCD[Total Impressions],ROW(DataCD[Total Impressions])-MIN(ROW(DataCD[Total Impressions])),0,1)))))
/
SUM(
IF(DataCD[Fraud 
'[% Fraud']]&lt;&gt;"NULL",
IF(DataCD[Device Type]=ColumnCD[[#This Row],[Metric]],
SUBTOTAL(9,OFFSET(DataCD[Total Impressions],ROW(DataCD[Total Impressions])-MIN(ROW(DataCD[Total Impressions])),0,1)))))</f>
        <v>0.03</v>
      </c>
      <c r="U10" s="32">
        <f t="array" aca="1" ref="U10" ca="1">SUM(
IF(DataCD[Viewability 
'[Total Viewable Rate (Total Net Metrics)']]&lt;&gt;"NULL",
IF(DataCD[Device Type]=ColumnCD[[#This Row],[Metric]],
DataCD[Viewability 
'[Total Viewable Rate (Total Net Metrics)']]*
SUBTOTAL(9,OFFSET(DataCD[Total Impressions],ROW(DataCD[Total Impressions])-MIN(ROW(DataCD[Total Impressions])),0,1)))))
/
SUM(
IF(DataCD[Viewability 
'[Total Viewable Rate (Total Net Metrics)']]&lt;&gt;"NULL",
IF(DataCD[Device Type]=ColumnCD[[#This Row],[Metric]],
SUBTOTAL(9,OFFSET(DataCD[Total Impressions],ROW(DataCD[Total Impressions])-MIN(ROW(DataCD[Total Impressions])),0,1)))))</f>
        <v>0.55000000000000004</v>
      </c>
      <c r="V10" s="32">
        <f t="array" aca="1" ref="V10" ca="1">SUM(
IF(DataCD[Display Viewability 
'[Total Viewable Rate (Total Net Metrics)']]&lt;&gt;"NULL",
IF(DataCD[Device Type]=ColumnCD[[#This Row],[Metric]],
DataCD[Display Viewability 
'[Total Viewable Rate (Total Net Metrics)']]*
SUBTOTAL(9,OFFSET(DataCD[Total Impressions],ROW(DataCD[Total Impressions])-MIN(ROW(DataCD[Total Impressions])),0,1)))))
/
SUM(
IF(DataCD[Display Viewability 
'[Total Viewable Rate (Total Net Metrics)']]&lt;&gt;"NULL",
IF(DataCD[Device Type]=ColumnCD[[#This Row],[Metric]],
SUBTOTAL(9,OFFSET(DataCD[Total Impressions],ROW(DataCD[Total Impressions])-MIN(ROW(DataCD[Total Impressions])),0,1)))))</f>
        <v>0.59999999999999987</v>
      </c>
      <c r="W10" s="32">
        <f t="array" aca="1" ref="W10" ca="1">SUM(
IF(DataCD[Video Viewability 
'[Total Viewable Rate (Total Net Metrics)']]&lt;&gt;"NULL",
IF(DataCD[Device Type]=ColumnCD[[#This Row],[Metric]],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IF(DataCD[Device Type]=ColumnCD[[#This Row],[Metric]],
SUBTOTAL(9,OFFSET(DataCD[Total Impressions],ROW(DataCD[Total Impressions])-MIN(ROW(DataCD[Total Impressions])),0,1)))))</f>
        <v>0.5</v>
      </c>
      <c r="X10" s="32">
        <f t="array" aca="1" ref="X10" ca="1">SUM(
IF(DataCD[GroupM Viewability 
'[% Display Ads Fully in View']]&lt;&gt;"NULL",
IF(DataCD[Device Type]=ColumnCD[[#This Row],[Metric]],
DataCD[GroupM Viewability 
'[% Display Ads Fully in View']]*
SUBTOTAL(9,OFFSET(DataCD[Total Impressions],ROW(DataCD[Total Impressions])-MIN(ROW(DataCD[Total Impressions])),0,1)))))
/
SUM(
IF(DataCD[GroupM Viewability 
'[% Display Ads Fully in View']]&lt;&gt;"NULL",
IF(DataCD[Device Type]=ColumnCD[[#This Row],[Metric]],
SUBTOTAL(9,OFFSET(DataCD[Total Impressions],ROW(DataCD[Total Impressions])-MIN(ROW(DataCD[Total Impressions])),0,1)))))</f>
        <v>0.35</v>
      </c>
      <c r="Y10" s="32">
        <f t="array" aca="1" ref="Y10" ca="1">SUM(
IF(DataCD[GroupM Viewability 
'[% Videos Fully in View']]&lt;&gt;"NULL",
IF(DataCD[Device Type]=ColumnCD[[#This Row],[Metric]],
DataCD[GroupM Viewability 
'[% Videos Fully in View']]*
SUBTOTAL(9,OFFSET(DataCD[Total Impressions],ROW(DataCD[Total Impressions])-MIN(ROW(DataCD[Total Impressions])),0,1)))))
/
SUM(
IF(DataCD[GroupM Viewability 
'[% Videos Fully in View']]&lt;&gt;"NULL",
IF(DataCD[Device Type]=ColumnCD[[#This Row],[Metric]],
SUBTOTAL(9,OFFSET(DataCD[Total Impressions],ROW(DataCD[Total Impressions])-MIN(ROW(DataCD[Total Impressions])),0,1)))))</f>
        <v>0.25</v>
      </c>
      <c r="Z10" s="32">
        <f t="array" aca="1" ref="Z10" ca="1">SUM(
IF(DataCD[Publicis Viewability 
'[% Display Ads Fully in View']]&lt;&gt;"NULL",
IF(DataCD[Device Type]=ColumnCD[[#This Row],[Metric]],
DataCD[Publicis Viewability 
'[% Display Ads Fully in View']]*
SUBTOTAL(9,OFFSET(DataCD[Total Impressions],ROW(DataCD[Total Impressions])-MIN(ROW(DataCD[Total Impressions])),0,1)))))
/
SUM(
IF(DataCD[Publicis Viewability 
'[% Display Ads Fully in View']]&lt;&gt;"NULL",
IF(DataCD[Device Type]=ColumnCD[[#This Row],[Metric]],
SUBTOTAL(9,OFFSET(DataCD[Total Impressions],ROW(DataCD[Total Impressions])-MIN(ROW(DataCD[Total Impressions])),0,1)))))</f>
        <v>0.35</v>
      </c>
      <c r="AA10" s="32">
        <f t="array" aca="1" ref="AA10" ca="1">SUM(
IF(DataCD[Publicis Viewability 
'[% Videos Fully in View']]&lt;&gt;"NULL",
IF(DataCD[Device Type]=ColumnCD[[#This Row],[Metric]],
DataCD[Publicis Viewability 
'[% Videos Fully in View']]*
SUBTOTAL(9,OFFSET(DataCD[Total Impressions],ROW(DataCD[Total Impressions])-MIN(ROW(DataCD[Total Impressions])),0,1)))))
/
SUM(
IF(DataCD[Publicis Viewability 
'[% Videos Fully in View']]&lt;&gt;"NULL",
IF(DataCD[Device Type]=ColumnCD[[#This Row],[Metric]],
SUBTOTAL(9,OFFSET(DataCD[Total Impressions],ROW(DataCD[Total Impressions])-MIN(ROW(DataCD[Total Impressions])),0,1)))))</f>
        <v>0.25</v>
      </c>
    </row>
    <row r="11" spans="1:121" s="18" customFormat="1" ht="16.5" hidden="1" customHeight="1" x14ac:dyDescent="0.35">
      <c r="A11" s="71"/>
      <c r="B11" s="66"/>
      <c r="C11" s="66"/>
      <c r="D11" s="66"/>
      <c r="E11" s="68"/>
      <c r="F11" s="68"/>
      <c r="G11" s="116" t="s">
        <v>14</v>
      </c>
      <c r="H11" s="116"/>
      <c r="I11" s="117"/>
      <c r="J11" s="102" t="s">
        <v>140</v>
      </c>
      <c r="K11" s="31" t="e">
        <f t="array" aca="1" ref="K11" ca="1">SUM(
IF(DataCD[Measured Rate 
'[% Measured']]&lt;&gt;"NULL",
IF(DataCD[Brand]=ColumnCD[[#This Row],[Metric]],
DataCD[Measured Rate 
'[% Measured']]*
SUBTOTAL(9,OFFSET(DataCD[Total Impressions],ROW(DataCD[Total Impressions])-MIN(ROW(DataCD[Total Impressions])),0,1)))))
/
SUM(
IF(DataCD[Measured Rate 
'[% Measured']]&lt;&gt;"NULL",
IF(DataCD[Brand]=ColumnCD[[#This Row],[Metric]],
SUBTOTAL(9,OFFSET(DataCD[Total Impressions],ROW(DataCD[Total Impressions])-MIN(ROW(DataCD[Total Impressions])),0,1)))))</f>
        <v>#DIV/0!</v>
      </c>
      <c r="L11" s="32" t="e">
        <f t="array" aca="1" ref="L11" ca="1">SUM(
IF(DataCD[See-Through Rate 
'[% Visible']]&lt;&gt;"NULL",
IF(DataCD[Brand]=ColumnCD[[#This Row],[Metric]],
DataCD[See-Through Rate 
'[% Visible']]*
SUBTOTAL(9,OFFSET(DataCD[Total Impressions],ROW(DataCD[Total Impressions])-MIN(ROW(DataCD[Total Impressions])),0,1)))))
/
SUM(
IF(DataCD[See-Through Rate 
'[% Visible']]&lt;&gt;"NULL",
IF(DataCD[Brand]=ColumnCD[[#This Row],[Metric]],
SUBTOTAL(9,OFFSET(DataCD[Total Impressions],ROW(DataCD[Total Impressions])-MIN(ROW(DataCD[Total Impressions])),0,1)))))</f>
        <v>#DIV/0!</v>
      </c>
      <c r="M11" s="32" t="e">
        <f t="array" aca="1" ref="M11" ca="1">SUM(
IF(DataCD[Brand Safety 
'[% Passed']]&lt;&gt;"NULL",
IF(DataCD[Brand]=ColumnCD[[#This Row],[Metric]],
DataCD[Brand Safety 
'[% Passed']]*
SUBTOTAL(9,OFFSET(DataCD[Total Impressions],ROW(DataCD[Total Impressions])-MIN(ROW(DataCD[Total Impressions])),0,1)))))
/
SUM(
IF(DataCD[Brand Safety 
'[% Passed']]&lt;&gt;"NULL",
IF(DataCD[Brand]=ColumnCD[[#This Row],[Metric]],
SUBTOTAL(9,OFFSET(DataCD[Total Impressions],ROW(DataCD[Total Impressions])-MIN(ROW(DataCD[Total Impressions])),0,1)))))</f>
        <v>#DIV/0!</v>
      </c>
      <c r="N11" s="32" t="e">
        <f t="array" aca="1" ref="N11" ca="1">SUM(
IF(DataCD[Brand Safety 
'[% Failed']]&lt;&gt;"NULL",
IF(DataCD[Brand]=ColumnCD[[#This Row],[Metric]],
DataCD[Brand Safety 
'[% Failed']]*
SUBTOTAL(9,OFFSET(DataCD[Total Impressions],ROW(DataCD[Total Impressions])-MIN(ROW(DataCD[Total Impressions])),0,1)))))
/
SUM(
IF(DataCD[Brand Safety 
'[% Failed']]&lt;&gt;"NULL",
IF(DataCD[Brand]=ColumnCD[[#This Row],[Metric]],
SUBTOTAL(9,OFFSET(DataCD[Total Impressions],ROW(DataCD[Total Impressions])-MIN(ROW(DataCD[Total Impressions])),0,1)))))</f>
        <v>#DIV/0!</v>
      </c>
      <c r="O11" s="32" t="e">
        <f t="array" aca="1" ref="O11" ca="1">SUM(
IF(DataCD[Brand Safety 
'[% Failed by Content']]&lt;&gt;"NULL",
IF(DataCD[Brand]=ColumnCD[[#This Row],[Metric]],
DataCD[Brand Safety 
'[% Failed by Content']]*
SUBTOTAL(9,OFFSET(DataCD[Total Impressions],ROW(DataCD[Total Impressions])-MIN(ROW(DataCD[Total Impressions])),0,1)))))
/
SUM(
IF(DataCD[Brand Safety 
'[% Failed by Content']]&lt;&gt;"NULL",
IF(DataCD[Brand]=ColumnCD[[#This Row],[Metric]],
SUBTOTAL(9,OFFSET(DataCD[Total Impressions],ROW(DataCD[Total Impressions])-MIN(ROW(DataCD[Total Impressions])),0,1)))))</f>
        <v>#DIV/0!</v>
      </c>
      <c r="P11" s="32" t="e">
        <f t="array" aca="1" ref="P11" ca="1">SUM(
IF(DataCD[Brand Safety 
'[% Failed by Geo']]&lt;&gt;"NULL",
IF(DataCD[Brand]=ColumnCD[[#This Row],[Metric]],
DataCD[Brand Safety 
'[% Failed by Geo']]*
SUBTOTAL(9,OFFSET(DataCD[Total Impressions],ROW(DataCD[Total Impressions])-MIN(ROW(DataCD[Total Impressions])),0,1)))))
/
SUM(
IF(DataCD[Brand Safety 
'[% Failed by Geo']]&lt;&gt;"NULL",
IF(DataCD[Brand]=ColumnCD[[#This Row],[Metric]],
SUBTOTAL(9,OFFSET(DataCD[Total Impressions],ROW(DataCD[Total Impressions])-MIN(ROW(DataCD[Total Impressions])),0,1)))))</f>
        <v>#DIV/0!</v>
      </c>
      <c r="Q11" s="32" t="e">
        <f t="array" aca="1" ref="Q11" ca="1">SUM(
IF(DataCD[Brand Safety 
'[% Failed by Keyword']]&lt;&gt;"NULL",
IF(DataCD[Brand]=ColumnCD[[#This Row],[Metric]],
DataCD[Brand Safety 
'[% Failed by Keyword']]*
SUBTOTAL(9,OFFSET(DataCD[Total Impressions],ROW(DataCD[Total Impressions])-MIN(ROW(DataCD[Total Impressions])),0,1)))))
/
SUM(
IF(DataCD[Brand Safety 
'[% Failed by Keyword']]&lt;&gt;"NULL",
IF(DataCD[Brand]=ColumnCD[[#This Row],[Metric]],
SUBTOTAL(9,OFFSET(DataCD[Total Impressions],ROW(DataCD[Total Impressions])-MIN(ROW(DataCD[Total Impressions])),0,1)))))</f>
        <v>#DIV/0!</v>
      </c>
      <c r="R11" s="32" t="e">
        <f t="array" aca="1" ref="R11" ca="1">SUM(
IF(DataCD[Brand Safety 
'[% Failed by Blacklist']]&lt;&gt;"NULL",
IF(DataCD[Brand]=ColumnCD[[#This Row],[Metric]],
DataCD[Brand Safety 
'[% Failed by Blacklist']]*
SUBTOTAL(9,OFFSET(DataCD[Total Impressions],ROW(DataCD[Total Impressions])-MIN(ROW(DataCD[Total Impressions])),0,1)))))
/
SUM(
IF(DataCD[Brand Safety 
'[% Failed by Blacklist']]&lt;&gt;"NULL",
IF(DataCD[Brand]=ColumnCD[[#This Row],[Metric]],
SUBTOTAL(9,OFFSET(DataCD[Total Impressions],ROW(DataCD[Total Impressions])-MIN(ROW(DataCD[Total Impressions])),0,1)))))</f>
        <v>#DIV/0!</v>
      </c>
      <c r="S11" s="32" t="e">
        <f t="array" aca="1" ref="S11" ca="1">SUM(
IF(DataCD[Brand Safety 
'[% Failed by Language']]&lt;&gt;"NULL",
IF(DataCD[Brand]=ColumnCD[[#This Row],[Metric]],
DataCD[Brand Safety 
'[% Failed by Language']]*
SUBTOTAL(9,OFFSET(DataCD[Total Impressions],ROW(DataCD[Total Impressions])-MIN(ROW(DataCD[Total Impressions])),0,1)))))
/
SUM(
IF(DataCD[Brand Safety 
'[% Failed by Language']]&lt;&gt;"NULL",
IF(DataCD[Brand]=ColumnCD[[#This Row],[Metric]],
SUBTOTAL(9,OFFSET(DataCD[Total Impressions],ROW(DataCD[Total Impressions])-MIN(ROW(DataCD[Total Impressions])),0,1)))))</f>
        <v>#DIV/0!</v>
      </c>
      <c r="T11" s="32" t="e">
        <f t="array" aca="1" ref="T11" ca="1">SUM(
IF(DataCD[Fraud 
'[% Fraud']]&lt;&gt;"NULL",
IF(DataCD[Brand]=ColumnCD[[#This Row],[Metric]],
DataCD[Fraud 
'[% Fraud']]*
SUBTOTAL(9,OFFSET(DataCD[Total Impressions],ROW(DataCD[Total Impressions])-MIN(ROW(DataCD[Total Impressions])),0,1)))))
/
SUM(
IF(DataCD[Fraud 
'[% Fraud']]&lt;&gt;"NULL",
IF(DataCD[Brand]=ColumnCD[[#This Row],[Metric]],
SUBTOTAL(9,OFFSET(DataCD[Total Impressions],ROW(DataCD[Total Impressions])-MIN(ROW(DataCD[Total Impressions])),0,1)))))</f>
        <v>#DIV/0!</v>
      </c>
      <c r="U11" s="32" t="e">
        <f t="array" aca="1" ref="U11" ca="1">SUM(
IF(DataCD[Viewability 
'[Total Viewable Rate (Total Net Metrics)']]&lt;&gt;"NULL",
IF(DataCD[Brand]=ColumnCD[[#This Row],[Metric]],
DataCD[Viewability 
'[Total Viewable Rate (Total Net Metrics)']]*
SUBTOTAL(9,OFFSET(DataCD[Total Impressions],ROW(DataCD[Total Impressions])-MIN(ROW(DataCD[Total Impressions])),0,1)))))
/
SUM(
IF(DataCD[Viewability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V11" s="32" t="e">
        <f t="array" aca="1" ref="V11" ca="1">SUM(
IF(DataCD[Display Viewability 
'[Total Viewable Rate (Total Net Metrics)']]&lt;&gt;"NULL",
IF(DataCD[Brand]=ColumnCD[[#This Row],[Metric]],
DataCD[Display Viewability 
'[Total Viewable Rate (Total Net Metrics)']]*
SUBTOTAL(9,OFFSET(DataCD[Total Impressions],ROW(DataCD[Total Impressions])-MIN(ROW(DataCD[Total Impressions])),0,1)))))
/
SUM(
IF(DataCD[Display 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W11" s="32" t="e">
        <f t="array" aca="1" ref="W11" ca="1">SUM(
IF(DataCD[Video Viewability 
'[Total Viewable Rate (Total Net Metrics)']]&lt;&gt;"NULL",
IF(DataCD[Brand]=ColumnCD[[#This Row],[Metric]],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X11" s="32" t="e">
        <f t="array" aca="1" ref="X11" ca="1">SUM(
IF(DataCD[GroupM Viewability 
'[% Display Ads Fully in View']]&lt;&gt;"NULL",
IF(DataCD[Brand]=ColumnCD[[#This Row],[Metric]],
DataCD[GroupM Viewability 
'[% Display Ads Fully in View']]*
SUBTOTAL(9,OFFSET(DataCD[Total Impressions],ROW(DataCD[Total Impressions])-MIN(ROW(DataCD[Total Impressions])),0,1)))))
/
SUM(
IF(DataCD[GroupM Viewability 
'[% Display Ads Fully in View']]&lt;&gt;"NULL",
IF(DataCD[Brand]=ColumnCD[[#This Row],[Metric]],
SUBTOTAL(9,OFFSET(DataCD[Total Impressions],ROW(DataCD[Total Impressions])-MIN(ROW(DataCD[Total Impressions])),0,1)))))</f>
        <v>#DIV/0!</v>
      </c>
      <c r="Y11" s="32" t="e">
        <f t="array" aca="1" ref="Y11" ca="1">SUM(
IF(DataCD[GroupM Viewability 
'[% Videos Fully in View']]&lt;&gt;"NULL",
IF(DataCD[Brand]=ColumnCD[[#This Row],[Metric]],
DataCD[GroupM Viewability 
'[% Videos Fully in View']]*
SUBTOTAL(9,OFFSET(DataCD[Total Impressions],ROW(DataCD[Total Impressions])-MIN(ROW(DataCD[Total Impressions])),0,1)))))
/
SUM(
IF(DataCD[GroupM Viewability 
'[% Videos Fully in View']]&lt;&gt;"NULL",
IF(DataCD[Brand]=ColumnCD[[#This Row],[Metric]],
SUBTOTAL(9,OFFSET(DataCD[Total Impressions],ROW(DataCD[Total Impressions])-MIN(ROW(DataCD[Total Impressions])),0,1)))))</f>
        <v>#DIV/0!</v>
      </c>
      <c r="Z11" s="32" t="e">
        <f t="array" aca="1" ref="Z11" ca="1">SUM(
IF(DataCD[Publicis Viewability 
'[% Display Ads Fully in View']]&lt;&gt;"NULL",
IF(DataCD[Brand]=ColumnCD[[#This Row],[Metric]],
DataCD[Publicis Viewability 
'[% Display Ads Fully in View']]*
SUBTOTAL(9,OFFSET(DataCD[Total Impressions],ROW(DataCD[Total Impressions])-MIN(ROW(DataCD[Total Impressions])),0,1)))))
/
SUM(
IF(DataCD[Publicis Viewability 
'[% Display Ads Fully in View']]&lt;&gt;"NULL",
IF(DataCD[Brand]=ColumnCD[[#This Row],[Metric]],
SUBTOTAL(9,OFFSET(DataCD[Total Impressions],ROW(DataCD[Total Impressions])-MIN(ROW(DataCD[Total Impressions])),0,1)))))</f>
        <v>#DIV/0!</v>
      </c>
      <c r="AA11" s="32" t="e">
        <f t="array" aca="1" ref="AA11" ca="1">SUM(
IF(DataCD[Publicis Viewability 
'[% Videos Fully in View']]&lt;&gt;"NULL",
IF(DataCD[Brand]=ColumnCD[[#This Row],[Metric]],
DataCD[Publicis Viewability 
'[% Videos Fully in View']]*
SUBTOTAL(9,OFFSET(DataCD[Total Impressions],ROW(DataCD[Total Impressions])-MIN(ROW(DataCD[Total Impressions])),0,1)))))
/
SUM(
IF(DataCD[Publicis Viewability 
'[% Videos Fully in View']]&lt;&gt;"NULL",
IF(DataCD[Brand]=ColumnCD[[#This Row],[Metric]],
SUBTOTAL(9,OFFSET(DataCD[Total Impressions],ROW(DataCD[Total Impressions])-MIN(ROW(DataCD[Total Impressions])),0,1)))))</f>
        <v>#DIV/0!</v>
      </c>
    </row>
    <row r="12" spans="1:121" s="18" customFormat="1" ht="16.5" hidden="1" customHeight="1" x14ac:dyDescent="0.35">
      <c r="A12" s="236"/>
      <c r="B12" s="237"/>
      <c r="C12" s="237"/>
      <c r="D12" s="237"/>
      <c r="E12" s="28"/>
      <c r="F12" s="28"/>
      <c r="G12" s="228" t="s">
        <v>8</v>
      </c>
      <c r="H12" s="228"/>
      <c r="I12" s="257"/>
      <c r="J12" s="106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6.5" hidden="1" customHeight="1" x14ac:dyDescent="0.35">
      <c r="A13" s="22"/>
      <c r="B13" s="69"/>
      <c r="C13" s="69"/>
      <c r="D13" s="33"/>
      <c r="E13" s="28"/>
      <c r="F13" s="28"/>
      <c r="G13" s="228" t="s">
        <v>8</v>
      </c>
      <c r="H13" s="228"/>
      <c r="I13" s="25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1</v>
      </c>
      <c r="AA13" s="108">
        <v>0</v>
      </c>
    </row>
    <row r="14" spans="1:121" s="18" customFormat="1" ht="15.75" customHeight="1" thickBot="1" x14ac:dyDescent="0.4">
      <c r="B14" s="36"/>
      <c r="C14" s="36"/>
      <c r="D14" s="22"/>
      <c r="E14" s="13" t="s">
        <v>21</v>
      </c>
      <c r="F14" s="13" t="s">
        <v>21</v>
      </c>
      <c r="G14" s="55"/>
      <c r="H14" s="13" t="s">
        <v>21</v>
      </c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IF(DataCD[[#Headers],[Brand]]="Brand",VLOOKUP(DataCD[[#This Row],[Campaign]],Map_Campaign[],2,0),
IF(DataCD[[#Headers],[Brand]]="Region (Team)",VLOOKUP(DataCD[[#This Row],[Team]],Map_Team[],2,0),
IF(DataCD[[#Headers],[Brand]]="Region (Campaign)",VLOOKUP(DataCD[[#This Row],[Campaign]],Map_Campaign[],3,0),
IF(DataCD[[#Headers],[Brand]]="Partner Type",VLOOKUP(DataCD[[#This Row],[Partner]],Map_Partner[],2,0),
IF(DataCD[[#Headers],[Brand]]="Device Type",VLOOKUP(DataCD[[#This Row],[Placement]],Map_Placement[],3,0),
IF(DataCD[[#Headers],[Brand]]="Creative Size",VLOOKUP(DataCD[[#This Row],[Placement]],Map_Placement[],2,0),"Not a mapping option.")))))),
"[Unmapped]")</f>
        <v>[Unmapped]</v>
      </c>
      <c r="C16" s="45" t="s">
        <v>10</v>
      </c>
      <c r="D16" s="46" t="s">
        <v>153</v>
      </c>
      <c r="E16" s="46" t="s">
        <v>10</v>
      </c>
      <c r="F16" s="46" t="s">
        <v>10</v>
      </c>
      <c r="G16" s="46" t="s">
        <v>126</v>
      </c>
      <c r="H16" s="46" t="s">
        <v>124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17" spans="2:121" s="11" customFormat="1" ht="15" customHeight="1" x14ac:dyDescent="0.25">
      <c r="B17" s="50"/>
      <c r="C17" s="50"/>
      <c r="D17" s="50"/>
      <c r="E17" s="50"/>
      <c r="F17" s="50"/>
      <c r="G17" s="50"/>
      <c r="H17" s="50"/>
      <c r="I17" s="10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5"/>
    </row>
    <row r="18" spans="2:121" s="11" customFormat="1" ht="15" customHeight="1" x14ac:dyDescent="0.25">
      <c r="B18" s="50"/>
      <c r="C18" s="50"/>
      <c r="D18" s="50"/>
      <c r="E18" s="50"/>
      <c r="F18" s="50"/>
      <c r="G18" s="50"/>
      <c r="H18" s="50"/>
      <c r="I18" s="10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5"/>
    </row>
    <row r="21" spans="2:121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7">
    <mergeCell ref="G7:I7"/>
    <mergeCell ref="G6:I6"/>
    <mergeCell ref="A12:D12"/>
    <mergeCell ref="B7:D7"/>
    <mergeCell ref="G13:I13"/>
    <mergeCell ref="G12:I12"/>
    <mergeCell ref="G8:I8"/>
  </mergeCells>
  <conditionalFormatting sqref="K16:AA16">
    <cfRule type="cellIs" dxfId="18" priority="8" operator="equal">
      <formula>""</formula>
    </cfRule>
  </conditionalFormatting>
  <conditionalFormatting sqref="A1:XFD6 B9:XFD9 A10:XFD1048576 A8:XFD8 A7:J7 AB7:XFD7">
    <cfRule type="expression" dxfId="17" priority="7">
      <formula>ISERROR(A1)</formula>
    </cfRule>
  </conditionalFormatting>
  <conditionalFormatting sqref="K16:AA16 K9:AA11">
    <cfRule type="expression" dxfId="16" priority="10">
      <formula>IF(K$7="N/A",0,IF(K$7="Above",K9&lt;=(1-$J$4)*K$8,K9&gt;=(1+$J$4)*K$8))</formula>
    </cfRule>
    <cfRule type="expression" dxfId="15" priority="11">
      <formula>IF(OR(K$7="N/A",K9=0),0,IF(K$7="Above",K9&gt;=(1+$J$3)*K$8,K9&lt;=(1-$J$3)*K$8))</formula>
    </cfRule>
  </conditionalFormatting>
  <conditionalFormatting sqref="K7:AA7">
    <cfRule type="expression" dxfId="14" priority="1">
      <formula>ISERROR(K7)</formula>
    </cfRule>
  </conditionalFormatting>
  <dataValidations count="8">
    <dataValidation allowBlank="1" showInputMessage="1" showErrorMessage="1" errorTitle="Invalid Entry" error="Please select/enter a value from 1 to 5 from the dropdown." sqref="J9 K10:AA11 J11 G9 G11 AB12:XFD13 A13:D13" xr:uid="{00000000-0002-0000-0600-000000000000}"/>
    <dataValidation type="list" allowBlank="1" showInputMessage="1" showErrorMessage="1" errorTitle="Invalid Entry" error="Please select/enter a value from 1 to 5 from the dropdown." sqref="J10" xr:uid="{00000000-0002-0000-06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600-000002000000}">
      <formula1>"0,1,2,3,4,5"</formula1>
    </dataValidation>
    <dataValidation type="list" allowBlank="1" showInputMessage="1" showErrorMessage="1" sqref="B15" xr:uid="{00000000-0002-0000-0600-000003000000}">
      <formula1>"Brand, Region (Team), Region (Campaign)"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600-000005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600-000006000000}"/>
    <dataValidation allowBlank="1" showInputMessage="1" showErrorMessage="1" prompt="Cell will highlight red if performance deviates by more than this percentage of the client goal." sqref="J4" xr:uid="{00000000-0002-0000-0600-000007000000}"/>
    <dataValidation type="list" allowBlank="1" showInputMessage="1" showErrorMessage="1" sqref="X27" xr:uid="{00000000-0002-0000-0600-000004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7A1F0ED4-4DAA-4903-BC1A-70ACBADA41B8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30.453125" style="50" hidden="1" customWidth="1"/>
    <col min="5" max="5" width="49" style="50" customWidth="1"/>
    <col min="6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2"/>
      <c r="E1" s="52"/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2"/>
      <c r="E2" s="52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2"/>
      <c r="E3" s="52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2"/>
      <c r="E4" s="52"/>
      <c r="F4" s="16"/>
      <c r="G4" s="52"/>
      <c r="H4" s="16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2"/>
      <c r="E5" s="52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7" t="s">
        <v>155</v>
      </c>
      <c r="C6" s="77"/>
      <c r="D6" s="70" t="s">
        <v>155</v>
      </c>
      <c r="E6" s="80" t="s">
        <v>155</v>
      </c>
      <c r="F6" s="28"/>
      <c r="G6" s="254" t="s">
        <v>133</v>
      </c>
      <c r="H6" s="255"/>
      <c r="I6" s="256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64"/>
      <c r="B7" s="65"/>
      <c r="C7" s="65"/>
      <c r="D7" s="65"/>
      <c r="E7" s="101"/>
      <c r="F7" s="28"/>
      <c r="G7" s="251" t="s">
        <v>132</v>
      </c>
      <c r="H7" s="252"/>
      <c r="I7" s="253"/>
      <c r="J7" s="54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26"/>
    </row>
    <row r="8" spans="1:121" s="18" customFormat="1" ht="15.65" customHeight="1" x14ac:dyDescent="0.35">
      <c r="A8" s="22"/>
      <c r="B8" s="70"/>
      <c r="C8" s="70"/>
      <c r="D8" s="70"/>
      <c r="E8" s="81" t="str">
        <f ca="1">MID(CELL("filename",A1),FIND("]",CELL("filename",A1))+1,255)&amp;" Level Scorecard"</f>
        <v>Partner &amp; Device Level Scorecard</v>
      </c>
      <c r="F8" s="28"/>
      <c r="G8" s="231" t="s">
        <v>132</v>
      </c>
      <c r="H8" s="232"/>
      <c r="I8" s="258"/>
      <c r="J8" s="127" t="s">
        <v>16</v>
      </c>
      <c r="K8" s="128">
        <f>VLOOKUP(K6,Benchmark_Legend[],MATCH(ColumnPD[[#This Row],[Metric]],Benchmark_Legend[#Headers],0),0)</f>
        <v>0.7</v>
      </c>
      <c r="L8" s="128">
        <f>VLOOKUP(L6,Benchmark_Legend[],MATCH(ColumnPD[[#This Row],[Metric]],Benchmark_Legend[#Headers],0),0)</f>
        <v>0.98</v>
      </c>
      <c r="M8" s="128">
        <f>VLOOKUP(M6,Benchmark_Legend[],MATCH(ColumnPD[[#This Row],[Metric]],Benchmark_Legend[#Headers],0),0)</f>
        <v>0.95</v>
      </c>
      <c r="N8" s="128">
        <f>VLOOKUP(N6,Benchmark_Legend[],MATCH(ColumnPD[[#This Row],[Metric]],Benchmark_Legend[#Headers],0),0)</f>
        <v>0.05</v>
      </c>
      <c r="O8" s="128">
        <f>VLOOKUP(O6,Benchmark_Legend[],MATCH(ColumnPD[[#This Row],[Metric]],Benchmark_Legend[#Headers],0),0)</f>
        <v>0.02</v>
      </c>
      <c r="P8" s="128">
        <f>VLOOKUP(P6,Benchmark_Legend[],MATCH(ColumnPD[[#This Row],[Metric]],Benchmark_Legend[#Headers],0),0)</f>
        <v>0.02</v>
      </c>
      <c r="Q8" s="128">
        <f>VLOOKUP(Q6,Benchmark_Legend[],MATCH(ColumnPD[[#This Row],[Metric]],Benchmark_Legend[#Headers],0),0)</f>
        <v>0.01</v>
      </c>
      <c r="R8" s="128">
        <f>VLOOKUP(R6,Benchmark_Legend[],MATCH(ColumnPD[[#This Row],[Metric]],Benchmark_Legend[#Headers],0),0)</f>
        <v>0.01</v>
      </c>
      <c r="S8" s="128">
        <f>VLOOKUP(S6,Benchmark_Legend[],MATCH(ColumnPD[[#This Row],[Metric]],Benchmark_Legend[#Headers],0),0)</f>
        <v>0.01</v>
      </c>
      <c r="T8" s="128">
        <f>VLOOKUP(T6,Benchmark_Legend[],MATCH(ColumnPD[[#This Row],[Metric]],Benchmark_Legend[#Headers],0),0)</f>
        <v>0.03</v>
      </c>
      <c r="U8" s="128">
        <f>VLOOKUP(U6,Benchmark_Legend[],MATCH(ColumnPD[[#This Row],[Metric]],Benchmark_Legend[#Headers],0),0)</f>
        <v>0.55000000000000004</v>
      </c>
      <c r="V8" s="128">
        <f>VLOOKUP(V6,Benchmark_Legend[],MATCH(ColumnPD[[#This Row],[Metric]],Benchmark_Legend[#Headers],0),0)</f>
        <v>0.6</v>
      </c>
      <c r="W8" s="128">
        <f>VLOOKUP(W6,Benchmark_Legend[],MATCH(ColumnPD[[#This Row],[Metric]],Benchmark_Legend[#Headers],0),0)</f>
        <v>0.5</v>
      </c>
      <c r="X8" s="128">
        <f>VLOOKUP(X6,Benchmark_Legend[],MATCH(ColumnPD[[#This Row],[Metric]],Benchmark_Legend[#Headers],0),0)</f>
        <v>0.35</v>
      </c>
      <c r="Y8" s="128">
        <f>VLOOKUP(Y6,Benchmark_Legend[],MATCH(ColumnPD[[#This Row],[Metric]],Benchmark_Legend[#Headers],0),0)</f>
        <v>0.25</v>
      </c>
      <c r="Z8" s="128">
        <f>VLOOKUP(Z6,Benchmark_Legend[],MATCH(ColumnPD[[#This Row],[Metric]],Benchmark_Legend[#Headers],0),0)</f>
        <v>0.35</v>
      </c>
      <c r="AA8" s="128">
        <f>VLOOKUP(AA6,Benchmark_Legend[],MATCH(ColumnPD[[#This Row],[Metric]],Benchmark_Legend[#Headers],0),0)</f>
        <v>0.25</v>
      </c>
      <c r="AB8" s="26"/>
    </row>
    <row r="9" spans="1:121" s="18" customFormat="1" ht="15.65" customHeight="1" thickBot="1" x14ac:dyDescent="0.4">
      <c r="A9" s="67" t="e">
        <f>RIGHT(#REF!,7)</f>
        <v>#REF!</v>
      </c>
      <c r="B9" s="68"/>
      <c r="C9" s="68"/>
      <c r="D9" s="68"/>
      <c r="E9" s="79" t="s">
        <v>154</v>
      </c>
      <c r="F9" s="66"/>
      <c r="G9" s="118" t="s">
        <v>14</v>
      </c>
      <c r="H9" s="119"/>
      <c r="I9" s="120"/>
      <c r="J9" s="113" t="s">
        <v>130</v>
      </c>
      <c r="K9" s="100">
        <f t="array" aca="1" ref="K9" ca="1">SUM(
IF((DataPD[Measured Rate 
'[% Measured']]&lt;&gt;"NULL"),
DataPD[Measured Rate 
'[% Measured']]*
SUBTOTAL(9,OFFSET(DataPD[Total Impressions],ROW(DataPD[Total Impressions])-MIN(ROW(DataPD[Total Impressions])),0,1))))
/
SUM(
IF((DataPD[Measured Rate 
'[% Measured']]&lt;&gt;"NULL"),
SUBTOTAL(9,OFFSET(DataPD[Total Impressions],ROW(DataPD[Total Impressions])-MIN(ROW(DataPD[Total Impressions])),0,1))))</f>
        <v>0.7</v>
      </c>
      <c r="L9" s="100">
        <f t="array" aca="1" ref="L9" ca="1">SUM(
IF((DataPD[See-Through Rate 
'[% Visible']]&lt;&gt;"NULL"),
DataPD[See-Through Rate 
'[% Visible']]*
SUBTOTAL(9,OFFSET(DataPD[Total Impressions],ROW(DataPD[Total Impressions])-MIN(ROW(DataPD[Total Impressions])),0,1))))
/
SUM(
IF((DataPD[See-Through Rate 
'[% Visible']]&lt;&gt;"NULL"),
SUBTOTAL(9,OFFSET(DataPD[Total Impressions],ROW(DataPD[Total Impressions])-MIN(ROW(DataPD[Total Impressions])),0,1))))</f>
        <v>0.98</v>
      </c>
      <c r="M9" s="112">
        <f t="array" aca="1" ref="M9" ca="1">SUM(
IF((DataPD[Brand Safety 
'[% Passed']]&lt;&gt;"NULL"),
DataPD[Brand Safety 
'[% Passed']]*
SUBTOTAL(9,OFFSET(DataPD[Total Impressions],ROW(DataPD[Total Impressions])-MIN(ROW(DataPD[Total Impressions])),0,1))))
/
SUM(
IF((DataPD[Brand Safety 
'[% Passed']]&lt;&gt;"NULL"),
SUBTOTAL(9,OFFSET(DataPD[Total Impressions],ROW(DataPD[Total Impressions])-MIN(ROW(DataPD[Total Impressions])),0,1))))</f>
        <v>0.95</v>
      </c>
      <c r="N9" s="112">
        <f t="array" aca="1" ref="N9" ca="1">SUM(
IF((DataPD[Brand Safety 
'[% Failed']]&lt;&gt;"NULL"),
DataPD[Brand Safety 
'[% Failed']]*
SUBTOTAL(9,OFFSET(DataPD[Total Impressions],ROW(DataPD[Total Impressions])-MIN(ROW(DataPD[Total Impressions])),0,1))))
/
SUM(
IF((DataPD[Brand Safety 
'[% Failed']]&lt;&gt;"NULL"),
SUBTOTAL(9,OFFSET(DataPD[Total Impressions],ROW(DataPD[Total Impressions])-MIN(ROW(DataPD[Total Impressions])),0,1))))</f>
        <v>0.05</v>
      </c>
      <c r="O9" s="112">
        <f t="array" aca="1" ref="O9" ca="1">SUM(
IF((DataPD[Brand Safety 
'[% Failed by Content']]&lt;&gt;"NULL"),
DataPD[Brand Safety 
'[% Failed by Content']]*
SUBTOTAL(9,OFFSET(DataPD[Total Impressions],ROW(DataPD[Total Impressions])-MIN(ROW(DataPD[Total Impressions])),0,1))))
/
SUM(
IF((DataPD[Brand Safety 
'[% Failed by Content']]&lt;&gt;"NULL"),
SUBTOTAL(9,OFFSET(DataPD[Total Impressions],ROW(DataPD[Total Impressions])-MIN(ROW(DataPD[Total Impressions])),0,1))))</f>
        <v>0.02</v>
      </c>
      <c r="P9" s="112">
        <f t="array" aca="1" ref="P9" ca="1">SUM(
IF((DataPD[Brand Safety 
'[% Failed by Geo']]&lt;&gt;"NULL"),
DataPD[Brand Safety 
'[% Failed by Geo']]*
SUBTOTAL(9,OFFSET(DataPD[Total Impressions],ROW(DataPD[Total Impressions])-MIN(ROW(DataPD[Total Impressions])),0,1))))
/
SUM(
IF((DataPD[Brand Safety 
'[% Failed by Geo']]&lt;&gt;"NULL"),
SUBTOTAL(9,OFFSET(DataPD[Total Impressions],ROW(DataPD[Total Impressions])-MIN(ROW(DataPD[Total Impressions])),0,1))))</f>
        <v>0.02</v>
      </c>
      <c r="Q9" s="100">
        <f t="array" aca="1" ref="Q9" ca="1">SUM(
IF((DataPD[Brand Safety 
'[% Failed by Keyword']]&lt;&gt;"NULL"),
DataPD[Brand Safety 
'[% Failed by Keyword']]*
SUBTOTAL(9,OFFSET(DataPD[Total Impressions],ROW(DataPD[Total Impressions])-MIN(ROW(DataPD[Total Impressions])),0,1))))
/
SUM(
IF((DataPD[Brand Safety 
'[% Failed by Keyword']]&lt;&gt;"NULL"),
SUBTOTAL(9,OFFSET(DataPD[Total Impressions],ROW(DataPD[Total Impressions])-MIN(ROW(DataPD[Total Impressions])),0,1))))</f>
        <v>0.01</v>
      </c>
      <c r="R9" s="100">
        <f t="array" aca="1" ref="R9" ca="1">SUM(
IF((DataPD[Brand Safety 
'[% Failed by Blacklist']]&lt;&gt;"NULL"),
DataPD[Brand Safety 
'[% Failed by Blacklist']]*
SUBTOTAL(9,OFFSET(DataPD[Total Impressions],ROW(DataPD[Total Impressions])-MIN(ROW(DataPD[Total Impressions])),0,1))))
/
SUM(
IF((DataPD[Brand Safety 
'[% Failed by Blacklist']]&lt;&gt;"NULL"),
SUBTOTAL(9,OFFSET(DataPD[Total Impressions],ROW(DataPD[Total Impressions])-MIN(ROW(DataPD[Total Impressions])),0,1))))</f>
        <v>0.01</v>
      </c>
      <c r="S9" s="100">
        <f t="array" aca="1" ref="S9" ca="1">SUM(
IF((DataPD[Brand Safety 
'[% Failed by Language']]&lt;&gt;"NULL"),
DataPD[Brand Safety 
'[% Failed by Language']]*
SUBTOTAL(9,OFFSET(DataPD[Total Impressions],ROW(DataPD[Total Impressions])-MIN(ROW(DataPD[Total Impressions])),0,1))))
/
SUM(
IF((DataPD[Brand Safety 
'[% Failed by Language']]&lt;&gt;"NULL"),
SUBTOTAL(9,OFFSET(DataPD[Total Impressions],ROW(DataPD[Total Impressions])-MIN(ROW(DataPD[Total Impressions])),0,1))))</f>
        <v>0.01</v>
      </c>
      <c r="T9" s="100">
        <f t="array" aca="1" ref="T9" ca="1">SUM(
IF((DataPD[Fraud 
'[% Fraud']]&lt;&gt;"NULL"),
DataPD[Fraud 
'[% Fraud']]*
SUBTOTAL(9,OFFSET(DataPD[Total Impressions],ROW(DataPD[Total Impressions])-MIN(ROW(DataPD[Total Impressions])),0,1))))
/
SUM(
IF((DataPD[Fraud 
'[% Fraud']]&lt;&gt;"NULL"),
SUBTOTAL(9,OFFSET(DataPD[Total Impressions],ROW(DataPD[Total Impressions])-MIN(ROW(DataPD[Total Impressions])),0,1))))</f>
        <v>0.03</v>
      </c>
      <c r="U9" s="100">
        <f t="array" aca="1" ref="U9" ca="1">SUM(
IF((DataPD[Viewability 
'[Total Viewable Rate (Total Net Metrics)']]&lt;&gt;"NULL"),
DataPD[Viewability 
'[Total Viewable Rate (Total Net Metrics)']]*SUBTOTAL(9,OFFSET(DataPD[Measured Impressions],ROW(DataPD[Measured Impressions])-MIN(ROW(DataPD[Measured Impressions])),0,1))))
/
SUM(
IF((DataPD[Viewability 
'[Total Viewable Rate (Total Net Metrics)']]&lt;&gt;"NULL"),
SUBTOTAL(9,OFFSET(DataPD[Measured Impressions],ROW(DataPD[Measured Impressions])-MIN(ROW(DataPD[Measured Impressions])),0,1))))</f>
        <v>0.55000000000000004</v>
      </c>
      <c r="V9" s="100">
        <f t="array" aca="1" ref="V9" ca="1">SUM(
IF((DataPD[Display Viewability 
'[Total Viewable Rate (Total Net Metrics)']]&lt;&gt;"NULL"),
DataPD[Display Viewability 
'[Total Viewable Rate (Total Net Metrics)']]*SUBTOTAL(9,OFFSET(DataPD[Measured Impressions],ROW(DataPD[Measured Impressions])-MIN(ROW(DataPD[Measured Impressions])),0,1))))
/
SUM(
IF((DataPD[Display Viewability 
'[Total Viewable Rate (Total Net Metrics)']]&lt;&gt;"NULL"),
SUBTOTAL(9,OFFSET(DataPD[Measured Impressions],ROW(DataPD[Measured Impressions])-MIN(ROW(DataPD[Measured Impressions])),0,1))))</f>
        <v>0.6</v>
      </c>
      <c r="W9" s="112">
        <f t="array" aca="1" ref="W9" ca="1">SUM(
IF((DataPD[Video Viewability 
'[Total Viewable Rate (Total Net Metrics)']]&lt;&gt;"NULL"),
DataPD[Video Viewability 
'[Total Viewable Rate (Total Net Metrics)']]*SUBTOTAL(9,OFFSET(DataPD[Measured Impressions],ROW(DataPD[Measured Impressions])-MIN(ROW(DataPD[Measured Impressions])),0,1))))
/
SUM(
IF((DataPD[Video Viewability 
'[Total Viewable Rate (Total Net Metrics)']]&lt;&gt;"NULL"),
SUBTOTAL(9,OFFSET(DataPD[Measured Impressions],ROW(DataPD[Measured Impressions])-MIN(ROW(DataPD[Measured Impressions])),0,1))))</f>
        <v>0.5</v>
      </c>
      <c r="X9" s="100">
        <f t="array" aca="1" ref="X9" ca="1">SUM(
IF((DataPD[GroupM Viewability 
'[% Display Ads Fully in View']]&lt;&gt;"NULL"),
DataPD[GroupM Viewability 
'[% Display Ads Fully in View']]*SUBTOTAL(9,OFFSET(DataPD[Measured Impressions],ROW(DataPD[Measured Impressions])-MIN(ROW(DataPD[Measured Impressions])),0,1))))
/
SUM(
IF((DataPD[GroupM Viewability 
'[% Display Ads Fully in View']]&lt;&gt;"NULL"),
SUBTOTAL(9,OFFSET(DataPD[Measured Impressions],ROW(DataPD[Measured Impressions])-MIN(ROW(DataPD[Measured Impressions])),0,1))))</f>
        <v>0.35</v>
      </c>
      <c r="Y9" s="112">
        <f t="array" aca="1" ref="Y9" ca="1">SUM(
IF((DataPD[GroupM Viewability 
'[% Videos Fully in View']]&lt;&gt;"NULL"),
DataPD[GroupM Viewability 
'[% Videos Fully in View']]*SUBTOTAL(9,OFFSET(DataPD[Measured Impressions],ROW(DataPD[Measured Impressions])-MIN(ROW(DataPD[Measured Impressions])),0,1))))
/
SUM(
IF((DataPD[GroupM Viewability 
'[% Videos Fully in View']]&lt;&gt;"NULL"),
SUBTOTAL(9,OFFSET(DataPD[Measured Impressions],ROW(DataPD[Measured Impressions])-MIN(ROW(DataPD[Measured Impressions])),0,1))))</f>
        <v>0.25</v>
      </c>
      <c r="Z9" s="100">
        <f t="array" aca="1" ref="Z9" ca="1">SUM(
IF((DataPD[Publicis Viewability 
'[% Display Ads Fully in View']]&lt;&gt;"NULL"),
DataPD[Publicis Viewability 
'[% Display Ads Fully in View']]*SUBTOTAL(9,OFFSET(DataPD[Measured Impressions],ROW(DataPD[Measured Impressions])-MIN(ROW(DataPD[Measured Impressions])),0,1))))
/
SUM(
IF((DataPD[Publicis Viewability 
'[% Display Ads Fully in View']]&lt;&gt;"NULL"),
SUBTOTAL(9,OFFSET(DataPD[Measured Impressions],ROW(DataPD[Measured Impressions])-MIN(ROW(DataPD[Measured Impressions])),0,1))))</f>
        <v>0.35</v>
      </c>
      <c r="AA9" s="100">
        <f t="array" aca="1" ref="AA9" ca="1">SUM(
IF((DataPD[Publicis Viewability 
'[% Videos Fully in View']]&lt;&gt;"NULL"),
DataPD[Publicis Viewability 
'[% Videos Fully in View']]*SUBTOTAL(9,OFFSET(DataPD[Measured Impressions],ROW(DataPD[Measured Impressions])-MIN(ROW(DataPD[Measured Impressions])),0,1))))
/
SUM(
IF((DataPD[Publicis Viewability 
'[% Videos Fully in View']]&lt;&gt;"NULL"),
SUBTOTAL(9,OFFSET(DataPD[Measured Impressions],ROW(DataPD[Measured Impressions])-MIN(ROW(DataPD[Measured Impressions])),0,1))))</f>
        <v>0.25</v>
      </c>
      <c r="AB9" s="26"/>
    </row>
    <row r="10" spans="1:121" s="18" customFormat="1" ht="15.75" hidden="1" customHeight="1" x14ac:dyDescent="0.35">
      <c r="A10" s="67"/>
      <c r="B10" s="68"/>
      <c r="C10" s="68"/>
      <c r="D10" s="68"/>
      <c r="E10" s="68"/>
      <c r="F10" s="66"/>
      <c r="G10" s="116"/>
      <c r="H10" s="116"/>
      <c r="I10" s="117"/>
      <c r="J10" s="102" t="s">
        <v>126</v>
      </c>
      <c r="K10" s="31">
        <f t="array" aca="1" ref="K10" ca="1">SUM(
IF(DataPD[Measured Rate 
'[% Measured']]&lt;&gt;"NULL",
IF(DataPD[Device Type]=ColumnPD[[#This Row],[Metric]],
DataPD[Measured Rate 
'[% Measured']]*
SUBTOTAL(9,OFFSET(DataPD[Total Impressions],ROW(DataPD[Total Impressions])-MIN(ROW(DataPD[Total Impressions])),0,1)))))
/
SUM(
IF(DataPD[Measured Rate 
'[% Measured']]&lt;&gt;"NULL",
IF(DataPD[Device Type]=ColumnPD[[#This Row],[Metric]],
SUBTOTAL(9,OFFSET(DataPD[Total Impressions],ROW(DataPD[Total Impressions])-MIN(ROW(DataPD[Total Impressions])),0,1)))))</f>
        <v>0.7</v>
      </c>
      <c r="L10" s="32">
        <f t="array" aca="1" ref="L10" ca="1">SUM(
IF(DataPD[See-Through Rate 
'[% Visible']]&lt;&gt;"NULL",
IF(DataPD[Device Type]=ColumnPD[[#This Row],[Metric]],
DataPD[See-Through Rate 
'[% Visible']]*
SUBTOTAL(9,OFFSET(DataPD[Total Impressions],ROW(DataPD[Total Impressions])-MIN(ROW(DataPD[Total Impressions])),0,1)))))
/
SUM(
IF(DataPD[See-Through Rate 
'[% Visible']]&lt;&gt;"NULL",
IF(DataPD[Device Type]=ColumnPD[[#This Row],[Metric]],
SUBTOTAL(9,OFFSET(DataPD[Total Impressions],ROW(DataPD[Total Impressions])-MIN(ROW(DataPD[Total Impressions])),0,1)))))</f>
        <v>0.98</v>
      </c>
      <c r="M10" s="32">
        <f t="array" aca="1" ref="M10" ca="1">SUM(
IF(DataPD[Brand Safety 
'[% Passed']]&lt;&gt;"NULL",
IF(DataPD[Device Type]=ColumnPD[[#This Row],[Metric]],
DataPD[Brand Safety 
'[% Passed']]*
SUBTOTAL(9,OFFSET(DataPD[Total Impressions],ROW(DataPD[Total Impressions])-MIN(ROW(DataPD[Total Impressions])),0,1)))))
/
SUM(
IF(DataPD[Brand Safety 
'[% Passed']]&lt;&gt;"NULL",
IF(DataPD[Device Type]=ColumnPD[[#This Row],[Metric]],
SUBTOTAL(9,OFFSET(DataPD[Total Impressions],ROW(DataPD[Total Impressions])-MIN(ROW(DataPD[Total Impressions])),0,1)))))</f>
        <v>0.95</v>
      </c>
      <c r="N10" s="32">
        <f t="array" aca="1" ref="N10" ca="1">SUM(
IF(DataPD[Brand Safety 
'[% Failed']]&lt;&gt;"NULL",
IF(DataPD[Device Type]=ColumnPD[[#This Row],[Metric]],
DataPD[Brand Safety 
'[% Failed']]*
SUBTOTAL(9,OFFSET(DataPD[Total Impressions],ROW(DataPD[Total Impressions])-MIN(ROW(DataPD[Total Impressions])),0,1)))))
/
SUM(
IF(DataPD[Brand Safety 
'[% Failed']]&lt;&gt;"NULL",
IF(DataPD[Device Type]=ColumnPD[[#This Row],[Metric]],
SUBTOTAL(9,OFFSET(DataPD[Total Impressions],ROW(DataPD[Total Impressions])-MIN(ROW(DataPD[Total Impressions])),0,1)))))</f>
        <v>0.05</v>
      </c>
      <c r="O10" s="32">
        <f t="array" aca="1" ref="O10" ca="1">SUM(
IF(DataPD[Brand Safety 
'[% Failed by Content']]&lt;&gt;"NULL",
IF(DataPD[Device Type]=ColumnPD[[#This Row],[Metric]],
DataPD[Brand Safety 
'[% Failed by Content']]*
SUBTOTAL(9,OFFSET(DataPD[Total Impressions],ROW(DataPD[Total Impressions])-MIN(ROW(DataPD[Total Impressions])),0,1)))))
/
SUM(
IF(DataPD[Brand Safety 
'[% Failed by Content']]&lt;&gt;"NULL",
IF(DataPD[Device Type]=ColumnPD[[#This Row],[Metric]],
SUBTOTAL(9,OFFSET(DataPD[Total Impressions],ROW(DataPD[Total Impressions])-MIN(ROW(DataPD[Total Impressions])),0,1)))))</f>
        <v>0.02</v>
      </c>
      <c r="P10" s="32">
        <f t="array" aca="1" ref="P10" ca="1">SUM(
IF(DataPD[Brand Safety 
'[% Failed by Geo']]&lt;&gt;"NULL",
IF(DataPD[Device Type]=ColumnPD[[#This Row],[Metric]],
DataPD[Brand Safety 
'[% Failed by Geo']]*
SUBTOTAL(9,OFFSET(DataPD[Total Impressions],ROW(DataPD[Total Impressions])-MIN(ROW(DataPD[Total Impressions])),0,1)))))
/
SUM(
IF(DataPD[Brand Safety 
'[% Failed by Geo']]&lt;&gt;"NULL",
IF(DataPD[Device Type]=ColumnPD[[#This Row],[Metric]],
SUBTOTAL(9,OFFSET(DataPD[Total Impressions],ROW(DataPD[Total Impressions])-MIN(ROW(DataPD[Total Impressions])),0,1)))))</f>
        <v>0.02</v>
      </c>
      <c r="Q10" s="32">
        <f t="array" aca="1" ref="Q10" ca="1">SUM(
IF(DataPD[Brand Safety 
'[% Failed by Keyword']]&lt;&gt;"NULL",
IF(DataPD[Device Type]=ColumnPD[[#This Row],[Metric]],
DataPD[Brand Safety 
'[% Failed by Keyword']]*
SUBTOTAL(9,OFFSET(DataPD[Total Impressions],ROW(DataPD[Total Impressions])-MIN(ROW(DataPD[Total Impressions])),0,1)))))
/
SUM(
IF(DataPD[Brand Safety 
'[% Failed by Keyword']]&lt;&gt;"NULL",
IF(DataPD[Device Type]=ColumnPD[[#This Row],[Metric]],
SUBTOTAL(9,OFFSET(DataPD[Total Impressions],ROW(DataPD[Total Impressions])-MIN(ROW(DataPD[Total Impressions])),0,1)))))</f>
        <v>0.01</v>
      </c>
      <c r="R10" s="32">
        <f t="array" aca="1" ref="R10" ca="1">SUM(
IF(DataPD[Brand Safety 
'[% Failed by Blacklist']]&lt;&gt;"NULL",
IF(DataPD[Device Type]=ColumnPD[[#This Row],[Metric]],
DataPD[Brand Safety 
'[% Failed by Blacklist']]*
SUBTOTAL(9,OFFSET(DataPD[Total Impressions],ROW(DataPD[Total Impressions])-MIN(ROW(DataPD[Total Impressions])),0,1)))))
/
SUM(
IF(DataPD[Brand Safety 
'[% Failed by Blacklist']]&lt;&gt;"NULL",
IF(DataPD[Device Type]=ColumnPD[[#This Row],[Metric]],
SUBTOTAL(9,OFFSET(DataPD[Total Impressions],ROW(DataPD[Total Impressions])-MIN(ROW(DataPD[Total Impressions])),0,1)))))</f>
        <v>0.01</v>
      </c>
      <c r="S10" s="32">
        <f t="array" aca="1" ref="S10" ca="1">SUM(
IF(DataPD[Brand Safety 
'[% Failed by Language']]&lt;&gt;"NULL",
IF(DataPD[Device Type]=ColumnPD[[#This Row],[Metric]],
DataPD[Brand Safety 
'[% Failed by Language']]*
SUBTOTAL(9,OFFSET(DataPD[Total Impressions],ROW(DataPD[Total Impressions])-MIN(ROW(DataPD[Total Impressions])),0,1)))))
/
SUM(
IF(DataPD[Brand Safety 
'[% Failed by Language']]&lt;&gt;"NULL",
IF(DataPD[Device Type]=ColumnPD[[#This Row],[Metric]],
SUBTOTAL(9,OFFSET(DataPD[Total Impressions],ROW(DataPD[Total Impressions])-MIN(ROW(DataPD[Total Impressions])),0,1)))))</f>
        <v>0.01</v>
      </c>
      <c r="T10" s="32">
        <f t="array" aca="1" ref="T10" ca="1">SUM(
IF(DataPD[Fraud 
'[% Fraud']]&lt;&gt;"NULL",
IF(DataPD[Device Type]=ColumnPD[[#This Row],[Metric]],
DataPD[Fraud 
'[% Fraud']]*
SUBTOTAL(9,OFFSET(DataPD[Total Impressions],ROW(DataPD[Total Impressions])-MIN(ROW(DataPD[Total Impressions])),0,1)))))
/
SUM(
IF(DataPD[Fraud 
'[% Fraud']]&lt;&gt;"NULL",
IF(DataPD[Device Type]=ColumnPD[[#This Row],[Metric]],
SUBTOTAL(9,OFFSET(DataPD[Total Impressions],ROW(DataPD[Total Impressions])-MIN(ROW(DataPD[Total Impressions])),0,1)))))</f>
        <v>0.03</v>
      </c>
      <c r="U10" s="32">
        <f t="array" aca="1" ref="U10" ca="1">SUM(
IF(DataPD[Viewability 
'[Total Viewable Rate (Total Net Metrics)']]&lt;&gt;"NULL",
IF(DataPD[Device Type]=ColumnPD[[#This Row],[Metric]],
DataPD[Viewability 
'[Total Viewable Rate (Total Net Metrics)']]*
SUBTOTAL(9,OFFSET(DataPD[Total Impressions],ROW(DataPD[Total Impressions])-MIN(ROW(DataPD[Total Impressions])),0,1)))))
/
SUM(
IF(DataPD[Viewability 
'[Total Viewable Rate (Total Net Metrics)']]&lt;&gt;"NULL",
IF(DataPD[Device Type]=ColumnPD[[#This Row],[Metric]],
SUBTOTAL(9,OFFSET(DataPD[Total Impressions],ROW(DataPD[Total Impressions])-MIN(ROW(DataPD[Total Impressions])),0,1)))))</f>
        <v>0.55000000000000004</v>
      </c>
      <c r="V10" s="32">
        <f t="array" aca="1" ref="V10" ca="1">SUM(
IF(DataPD[Display Viewability 
'[Total Viewable Rate (Total Net Metrics)']]&lt;&gt;"NULL",
IF(DataPD[Device Type]=ColumnPD[[#This Row],[Metric]],
DataPD[Display Viewability 
'[Total Viewable Rate (Total Net Metrics)']]*
SUBTOTAL(9,OFFSET(DataPD[Total Impressions],ROW(DataPD[Total Impressions])-MIN(ROW(DataPD[Total Impressions])),0,1)))))
/
SUM(
IF(DataPD[Display Viewability 
'[Total Viewable Rate (Total Net Metrics)']]&lt;&gt;"NULL",
IF(DataPD[Device Type]=ColumnPD[[#This Row],[Metric]],
SUBTOTAL(9,OFFSET(DataPD[Total Impressions],ROW(DataPD[Total Impressions])-MIN(ROW(DataPD[Total Impressions])),0,1)))))</f>
        <v>0.59999999999999987</v>
      </c>
      <c r="W10" s="32">
        <f t="array" aca="1" ref="W10" ca="1">SUM(
IF(DataPD[Video Viewability 
'[Total Viewable Rate (Total Net Metrics)']]&lt;&gt;"NULL",
IF(DataPD[Device Type]=ColumnPD[[#This Row],[Metric]],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IF(DataPD[Device Type]=ColumnPD[[#This Row],[Metric]],
SUBTOTAL(9,OFFSET(DataPD[Total Impressions],ROW(DataPD[Total Impressions])-MIN(ROW(DataPD[Total Impressions])),0,1)))))</f>
        <v>0.5</v>
      </c>
      <c r="X10" s="32">
        <f t="array" aca="1" ref="X10" ca="1">SUM(
IF(DataPD[GroupM Viewability 
'[% Display Ads Fully in View']]&lt;&gt;"NULL",
IF(DataPD[Device Type]=ColumnPD[[#This Row],[Metric]],
DataPD[GroupM Viewability 
'[% Display Ads Fully in View']]*
SUBTOTAL(9,OFFSET(DataPD[Total Impressions],ROW(DataPD[Total Impressions])-MIN(ROW(DataPD[Total Impressions])),0,1)))))
/
SUM(
IF(DataPD[GroupM Viewability 
'[% Display Ads Fully in View']]&lt;&gt;"NULL",
IF(DataPD[Device Type]=ColumnPD[[#This Row],[Metric]],
SUBTOTAL(9,OFFSET(DataPD[Total Impressions],ROW(DataPD[Total Impressions])-MIN(ROW(DataPD[Total Impressions])),0,1)))))</f>
        <v>0.35</v>
      </c>
      <c r="Y10" s="32">
        <f t="array" aca="1" ref="Y10" ca="1">SUM(
IF(DataPD[GroupM Viewability 
'[% Videos Fully in View']]&lt;&gt;"NULL",
IF(DataPD[Device Type]=ColumnPD[[#This Row],[Metric]],
DataPD[GroupM Viewability 
'[% Videos Fully in View']]*
SUBTOTAL(9,OFFSET(DataPD[Total Impressions],ROW(DataPD[Total Impressions])-MIN(ROW(DataPD[Total Impressions])),0,1)))))
/
SUM(
IF(DataPD[GroupM Viewability 
'[% Videos Fully in View']]&lt;&gt;"NULL",
IF(DataPD[Device Type]=ColumnPD[[#This Row],[Metric]],
SUBTOTAL(9,OFFSET(DataPD[Total Impressions],ROW(DataPD[Total Impressions])-MIN(ROW(DataPD[Total Impressions])),0,1)))))</f>
        <v>0.25</v>
      </c>
      <c r="Z10" s="32">
        <f t="array" aca="1" ref="Z10" ca="1">SUM(
IF(DataPD[Publicis Viewability 
'[% Display Ads Fully in View']]&lt;&gt;"NULL",
IF(DataPD[Device Type]=ColumnPD[[#This Row],[Metric]],
DataPD[Publicis Viewability 
'[% Display Ads Fully in View']]*
SUBTOTAL(9,OFFSET(DataPD[Total Impressions],ROW(DataPD[Total Impressions])-MIN(ROW(DataPD[Total Impressions])),0,1)))))
/
SUM(
IF(DataPD[Publicis Viewability 
'[% Display Ads Fully in View']]&lt;&gt;"NULL",
IF(DataPD[Device Type]=ColumnPD[[#This Row],[Metric]],
SUBTOTAL(9,OFFSET(DataPD[Total Impressions],ROW(DataPD[Total Impressions])-MIN(ROW(DataPD[Total Impressions])),0,1)))))</f>
        <v>0.35</v>
      </c>
      <c r="AA10" s="32">
        <f t="array" aca="1" ref="AA10" ca="1">SUM(
IF(DataPD[Publicis Viewability 
'[% Videos Fully in View']]&lt;&gt;"NULL",
IF(DataPD[Device Type]=ColumnPD[[#This Row],[Metric]],
DataPD[Publicis Viewability 
'[% Videos Fully in View']]*
SUBTOTAL(9,OFFSET(DataPD[Total Impressions],ROW(DataPD[Total Impressions])-MIN(ROW(DataPD[Total Impressions])),0,1)))))
/
SUM(
IF(DataPD[Publicis Viewability 
'[% Videos Fully in View']]&lt;&gt;"NULL",
IF(DataPD[Device Type]=ColumnPD[[#This Row],[Metric]],
SUBTOTAL(9,OFFSET(DataPD[Total Impressions],ROW(DataPD[Total Impressions])-MIN(ROW(DataPD[Total Impressions])),0,1)))))</f>
        <v>0.25</v>
      </c>
      <c r="AB10" s="26"/>
    </row>
    <row r="11" spans="1:121" s="18" customFormat="1" ht="16.5" hidden="1" customHeight="1" x14ac:dyDescent="0.35">
      <c r="A11" s="67"/>
      <c r="B11" s="68"/>
      <c r="C11" s="68"/>
      <c r="D11" s="68"/>
      <c r="E11" s="68"/>
      <c r="F11" s="66"/>
      <c r="G11" s="116"/>
      <c r="H11" s="116"/>
      <c r="I11" s="117"/>
      <c r="J11" s="102" t="s">
        <v>140</v>
      </c>
      <c r="K11" s="31" t="e">
        <f t="array" aca="1" ref="K11" ca="1">SUM(
IF(DataPD[Measured Rate 
'[% Measured']]&lt;&gt;"NULL",
IF(DataPD[Partner Type]=ColumnPD[[#This Row],[Metric]],
DataPD[Measured Rate 
'[% Measured']]*
SUBTOTAL(9,OFFSET(DataPD[Total Impressions],ROW(DataPD[Total Impressions])-MIN(ROW(DataPD[Total Impressions])),0,1)))))
/
SUM(
IF(DataPD[Measured Rate 
'[% Measured']]&lt;&gt;"NULL",
IF(DataPD[Partner Type]=ColumnPD[[#This Row],[Metric]],
SUBTOTAL(9,OFFSET(DataPD[Total Impressions],ROW(DataPD[Total Impressions])-MIN(ROW(DataPD[Total Impressions])),0,1)))))</f>
        <v>#DIV/0!</v>
      </c>
      <c r="L11" s="32" t="e">
        <f t="array" aca="1" ref="L11" ca="1">SUM(
IF(DataPD[See-Through Rate 
'[% Visible']]&lt;&gt;"NULL",
IF(DataPD[Partner Type]=ColumnPD[[#This Row],[Metric]],
DataPD[See-Through Rate 
'[% Visible']]*
SUBTOTAL(9,OFFSET(DataPD[Total Impressions],ROW(DataPD[Total Impressions])-MIN(ROW(DataPD[Total Impressions])),0,1)))))
/
SUM(
IF(DataPD[See-Through Rate 
'[% Visible']]&lt;&gt;"NULL",
IF(DataPD[Partner Type]=ColumnPD[[#This Row],[Metric]],
SUBTOTAL(9,OFFSET(DataPD[Total Impressions],ROW(DataPD[Total Impressions])-MIN(ROW(DataPD[Total Impressions])),0,1)))))</f>
        <v>#DIV/0!</v>
      </c>
      <c r="M11" s="32" t="e">
        <f t="array" aca="1" ref="M11" ca="1">SUM(
IF(DataPD[Brand Safety 
'[% Passed']]&lt;&gt;"NULL",
IF(DataPD[Partner Type]=ColumnPD[[#This Row],[Metric]],
DataPD[Brand Safety 
'[% Passed']]*
SUBTOTAL(9,OFFSET(DataPD[Total Impressions],ROW(DataPD[Total Impressions])-MIN(ROW(DataPD[Total Impressions])),0,1)))))
/
SUM(
IF(DataPD[Brand Safety 
'[% Passed']]&lt;&gt;"NULL",
IF(DataPD[Partner Type]=ColumnPD[[#This Row],[Metric]],
SUBTOTAL(9,OFFSET(DataPD[Total Impressions],ROW(DataPD[Total Impressions])-MIN(ROW(DataPD[Total Impressions])),0,1)))))</f>
        <v>#DIV/0!</v>
      </c>
      <c r="N11" s="32" t="e">
        <f t="array" aca="1" ref="N11" ca="1">SUM(
IF(DataPD[Brand Safety 
'[% Failed']]&lt;&gt;"NULL",
IF(DataPD[Partner Type]=ColumnPD[[#This Row],[Metric]],
DataPD[Brand Safety 
'[% Failed']]*
SUBTOTAL(9,OFFSET(DataPD[Total Impressions],ROW(DataPD[Total Impressions])-MIN(ROW(DataPD[Total Impressions])),0,1)))))
/
SUM(
IF(DataPD[Brand Safety 
'[% Failed']]&lt;&gt;"NULL",
IF(DataPD[Partner Type]=ColumnPD[[#This Row],[Metric]],
SUBTOTAL(9,OFFSET(DataPD[Total Impressions],ROW(DataPD[Total Impressions])-MIN(ROW(DataPD[Total Impressions])),0,1)))))</f>
        <v>#DIV/0!</v>
      </c>
      <c r="O11" s="32" t="e">
        <f t="array" aca="1" ref="O11" ca="1">SUM(
IF(DataPD[Brand Safety 
'[% Failed by Content']]&lt;&gt;"NULL",
IF(DataPD[Partner Type]=ColumnPD[[#This Row],[Metric]],
DataPD[Brand Safety 
'[% Failed by Content']]*
SUBTOTAL(9,OFFSET(DataPD[Total Impressions],ROW(DataPD[Total Impressions])-MIN(ROW(DataPD[Total Impressions])),0,1)))))
/
SUM(
IF(DataPD[Brand Safety 
'[% Failed by Content']]&lt;&gt;"NULL",
IF(DataPD[Partner Type]=ColumnPD[[#This Row],[Metric]],
SUBTOTAL(9,OFFSET(DataPD[Total Impressions],ROW(DataPD[Total Impressions])-MIN(ROW(DataPD[Total Impressions])),0,1)))))</f>
        <v>#DIV/0!</v>
      </c>
      <c r="P11" s="32" t="e">
        <f t="array" aca="1" ref="P11" ca="1">SUM(
IF(DataPD[Brand Safety 
'[% Failed by Geo']]&lt;&gt;"NULL",
IF(DataPD[Partner Type]=ColumnPD[[#This Row],[Metric]],
DataPD[Brand Safety 
'[% Failed by Geo']]*
SUBTOTAL(9,OFFSET(DataPD[Total Impressions],ROW(DataPD[Total Impressions])-MIN(ROW(DataPD[Total Impressions])),0,1)))))
/
SUM(
IF(DataPD[Brand Safety 
'[% Failed by Geo']]&lt;&gt;"NULL",
IF(DataPD[Partner Type]=ColumnPD[[#This Row],[Metric]],
SUBTOTAL(9,OFFSET(DataPD[Total Impressions],ROW(DataPD[Total Impressions])-MIN(ROW(DataPD[Total Impressions])),0,1)))))</f>
        <v>#DIV/0!</v>
      </c>
      <c r="Q11" s="32" t="e">
        <f t="array" aca="1" ref="Q11" ca="1">SUM(
IF(DataPD[Brand Safety 
'[% Failed by Keyword']]&lt;&gt;"NULL",
IF(DataPD[Partner Type]=ColumnPD[[#This Row],[Metric]],
DataPD[Brand Safety 
'[% Failed by Keyword']]*
SUBTOTAL(9,OFFSET(DataPD[Total Impressions],ROW(DataPD[Total Impressions])-MIN(ROW(DataPD[Total Impressions])),0,1)))))
/
SUM(
IF(DataPD[Brand Safety 
'[% Failed by Keyword']]&lt;&gt;"NULL",
IF(DataPD[Partner Type]=ColumnPD[[#This Row],[Metric]],
SUBTOTAL(9,OFFSET(DataPD[Total Impressions],ROW(DataPD[Total Impressions])-MIN(ROW(DataPD[Total Impressions])),0,1)))))</f>
        <v>#DIV/0!</v>
      </c>
      <c r="R11" s="32" t="e">
        <f t="array" aca="1" ref="R11" ca="1">SUM(
IF(DataPD[Brand Safety 
'[% Failed by Blacklist']]&lt;&gt;"NULL",
IF(DataPD[Partner Type]=ColumnPD[[#This Row],[Metric]],
DataPD[Brand Safety 
'[% Failed by Blacklist']]*
SUBTOTAL(9,OFFSET(DataPD[Total Impressions],ROW(DataPD[Total Impressions])-MIN(ROW(DataPD[Total Impressions])),0,1)))))
/
SUM(
IF(DataPD[Brand Safety 
'[% Failed by Blacklist']]&lt;&gt;"NULL",
IF(DataPD[Partner Type]=ColumnPD[[#This Row],[Metric]],
SUBTOTAL(9,OFFSET(DataPD[Total Impressions],ROW(DataPD[Total Impressions])-MIN(ROW(DataPD[Total Impressions])),0,1)))))</f>
        <v>#DIV/0!</v>
      </c>
      <c r="S11" s="32" t="e">
        <f t="array" aca="1" ref="S11" ca="1">SUM(
IF(DataPD[Brand Safety 
'[% Failed by Language']]&lt;&gt;"NULL",
IF(DataPD[Partner Type]=ColumnPD[[#This Row],[Metric]],
DataPD[Brand Safety 
'[% Failed by Language']]*
SUBTOTAL(9,OFFSET(DataPD[Total Impressions],ROW(DataPD[Total Impressions])-MIN(ROW(DataPD[Total Impressions])),0,1)))))
/
SUM(
IF(DataPD[Brand Safety 
'[% Failed by Language']]&lt;&gt;"NULL",
IF(DataPD[Partner Type]=ColumnPD[[#This Row],[Metric]],
SUBTOTAL(9,OFFSET(DataPD[Total Impressions],ROW(DataPD[Total Impressions])-MIN(ROW(DataPD[Total Impressions])),0,1)))))</f>
        <v>#DIV/0!</v>
      </c>
      <c r="T11" s="32" t="e">
        <f t="array" aca="1" ref="T11" ca="1">SUM(
IF(DataPD[Fraud 
'[% Fraud']]&lt;&gt;"NULL",
IF(DataPD[Partner Type]=ColumnPD[[#This Row],[Metric]],
DataPD[Fraud 
'[% Fraud']]*
SUBTOTAL(9,OFFSET(DataPD[Total Impressions],ROW(DataPD[Total Impressions])-MIN(ROW(DataPD[Total Impressions])),0,1)))))
/
SUM(
IF(DataPD[Fraud 
'[% Fraud']]&lt;&gt;"NULL",
IF(DataPD[Partner Type]=ColumnPD[[#This Row],[Metric]],
SUBTOTAL(9,OFFSET(DataPD[Total Impressions],ROW(DataPD[Total Impressions])-MIN(ROW(DataPD[Total Impressions])),0,1)))))</f>
        <v>#DIV/0!</v>
      </c>
      <c r="U11" s="32" t="e">
        <f t="array" aca="1" ref="U11" ca="1">SUM(
IF(DataPD[Viewability 
'[Total Viewable Rate (Total Net Metrics)']]&lt;&gt;"NULL",
IF(DataPD[Partner Type]=ColumnPD[[#This Row],[Metric]],
DataPD[Viewability 
'[Total Viewable Rate (Total Net Metrics)']]*
SUBTOTAL(9,OFFSET(DataPD[Total Impressions],ROW(DataPD[Total Impressions])-MIN(ROW(DataPD[Total Impressions])),0,1)))))
/
SUM(
IF(DataPD[Viewability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V11" s="32" t="e">
        <f t="array" aca="1" ref="V11" ca="1">SUM(
IF(DataPD[Display Viewability 
'[Total Viewable Rate (Total Net Metrics)']]&lt;&gt;"NULL",
IF(DataPD[Partner Type]=ColumnPD[[#This Row],[Metric]],
DataPD[Display Viewability 
'[Total Viewable Rate (Total Net Metrics)']]*
SUBTOTAL(9,OFFSET(DataPD[Total Impressions],ROW(DataPD[Total Impressions])-MIN(ROW(DataPD[Total Impressions])),0,1)))))
/
SUM(
IF(DataPD[Display 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W11" s="32" t="e">
        <f t="array" aca="1" ref="W11" ca="1">SUM(
IF(DataPD[Video Viewability 
'[Total Viewable Rate (Total Net Metrics)']]&lt;&gt;"NULL",
IF(DataPD[Partner Type]=ColumnPD[[#This Row],[Metric]],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X11" s="32" t="e">
        <f t="array" aca="1" ref="X11" ca="1">SUM(
IF(DataPD[GroupM Viewability 
'[% Display Ads Fully in View']]&lt;&gt;"NULL",
IF(DataPD[Partner Type]=ColumnPD[[#This Row],[Metric]],
DataPD[GroupM Viewability 
'[% Display Ads Fully in View']]*
SUBTOTAL(9,OFFSET(DataPD[Total Impressions],ROW(DataPD[Total Impressions])-MIN(ROW(DataPD[Total Impressions])),0,1)))))
/
SUM(
IF(DataPD[GroupM Viewability 
'[% Display Ads Fully in View']]&lt;&gt;"NULL",
IF(DataPD[Partner Type]=ColumnPD[[#This Row],[Metric]],
SUBTOTAL(9,OFFSET(DataPD[Total Impressions],ROW(DataPD[Total Impressions])-MIN(ROW(DataPD[Total Impressions])),0,1)))))</f>
        <v>#DIV/0!</v>
      </c>
      <c r="Y11" s="32" t="e">
        <f t="array" aca="1" ref="Y11" ca="1">SUM(
IF(DataPD[GroupM Viewability 
'[% Videos Fully in View']]&lt;&gt;"NULL",
IF(DataPD[Partner Type]=ColumnPD[[#This Row],[Metric]],
DataPD[GroupM Viewability 
'[% Videos Fully in View']]*
SUBTOTAL(9,OFFSET(DataPD[Total Impressions],ROW(DataPD[Total Impressions])-MIN(ROW(DataPD[Total Impressions])),0,1)))))
/
SUM(
IF(DataPD[GroupM Viewability 
'[% Videos Fully in View']]&lt;&gt;"NULL",
IF(DataPD[Partner Type]=ColumnPD[[#This Row],[Metric]],
SUBTOTAL(9,OFFSET(DataPD[Total Impressions],ROW(DataPD[Total Impressions])-MIN(ROW(DataPD[Total Impressions])),0,1)))))</f>
        <v>#DIV/0!</v>
      </c>
      <c r="Z11" s="32" t="e">
        <f t="array" aca="1" ref="Z11" ca="1">SUM(
IF(DataPD[Publicis Viewability 
'[% Display Ads Fully in View']]&lt;&gt;"NULL",
IF(DataPD[Partner Type]=ColumnPD[[#This Row],[Metric]],
DataPD[Publicis Viewability 
'[% Display Ads Fully in View']]*
SUBTOTAL(9,OFFSET(DataPD[Total Impressions],ROW(DataPD[Total Impressions])-MIN(ROW(DataPD[Total Impressions])),0,1)))))
/
SUM(
IF(DataPD[Publicis Viewability 
'[% Display Ads Fully in View']]&lt;&gt;"NULL",
IF(DataPD[Partner Type]=ColumnPD[[#This Row],[Metric]],
SUBTOTAL(9,OFFSET(DataPD[Total Impressions],ROW(DataPD[Total Impressions])-MIN(ROW(DataPD[Total Impressions])),0,1)))))</f>
        <v>#DIV/0!</v>
      </c>
      <c r="AA11" s="32" t="e">
        <f t="array" aca="1" ref="AA11" ca="1">SUM(
IF(DataPD[Publicis Viewability 
'[% Videos Fully in View']]&lt;&gt;"NULL",
IF(DataPD[Partner Type]=ColumnPD[[#This Row],[Metric]],
DataPD[Publicis Viewability 
'[% Videos Fully in View']]*
SUBTOTAL(9,OFFSET(DataPD[Total Impressions],ROW(DataPD[Total Impressions])-MIN(ROW(DataPD[Total Impressions])),0,1)))))
/
SUM(
IF(DataPD[Publicis Viewability 
'[% Videos Fully in View']]&lt;&gt;"NULL",
IF(DataPD[Partner Type]=ColumnPD[[#This Row],[Metric]],
SUBTOTAL(9,OFFSET(DataPD[Total Impressions],ROW(DataPD[Total Impressions])-MIN(ROW(DataPD[Total Impressions])),0,1)))))</f>
        <v>#DIV/0!</v>
      </c>
      <c r="AB11" s="26"/>
    </row>
    <row r="12" spans="1:121" s="18" customFormat="1" ht="16.5" hidden="1" customHeight="1" x14ac:dyDescent="0.35">
      <c r="A12" s="236"/>
      <c r="B12" s="237"/>
      <c r="C12" s="237"/>
      <c r="D12" s="237"/>
      <c r="E12" s="53"/>
      <c r="F12" s="53"/>
      <c r="G12" s="228" t="s">
        <v>8</v>
      </c>
      <c r="H12" s="228"/>
      <c r="I12" s="257"/>
      <c r="J12" s="106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6.5" hidden="1" customHeight="1" x14ac:dyDescent="0.35">
      <c r="A13" s="22"/>
      <c r="B13" s="33"/>
      <c r="C13" s="33"/>
      <c r="D13" s="69"/>
      <c r="E13" s="56"/>
      <c r="F13" s="53"/>
      <c r="G13" s="228" t="s">
        <v>8</v>
      </c>
      <c r="H13" s="228"/>
      <c r="I13" s="25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1</v>
      </c>
      <c r="AA13" s="108">
        <v>0</v>
      </c>
      <c r="AB13" s="26"/>
    </row>
    <row r="14" spans="1:121" s="18" customFormat="1" ht="15.75" customHeight="1" thickBot="1" x14ac:dyDescent="0.4">
      <c r="B14" s="35"/>
      <c r="C14" s="22"/>
      <c r="D14" s="36"/>
      <c r="E14" s="55"/>
      <c r="F14" s="64"/>
      <c r="G14" s="55"/>
      <c r="H14" s="36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IF(DataPD[[#Headers],[Partner Type]]="Brand",VLOOKUP(DataPD[[#This Row],[Campaign]],Map_Campaign[],2,0),
IF(DataPD[[#Headers],[Partner Type]]="Region (Team)",VLOOKUP(DataPD[[#This Row],[Team]],Map_Team[],2,0),
IF(DataPD[[#Headers],[Partner Type]]="Region (Campaign)",VLOOKUP(DataPD[[#This Row],[Campaign]],Map_Campaign[],3,0),
IF(DataPD[[#Headers],[Partner Type]]="Partner Type",VLOOKUP(DataPD[[#This Row],[Partner]],Map_Partner[],2,0),
IF(DataPD[[#Headers],[Partner Type]]="Device Type",VLOOKUP(DataPD[[#This Row],[Placement]],Map_Placement[],3,0),
IF(DataPD[[#Headers],[Partner Type]]="Creative Size",VLOOKUP(DataPD[[#This Row],[Placement]],Map_Placement[],2,0),"Not a mapping option.")))))),
"[Unmapped]")</f>
        <v>Direct</v>
      </c>
      <c r="C16" s="46" t="s">
        <v>10</v>
      </c>
      <c r="D16" s="46" t="s">
        <v>10</v>
      </c>
      <c r="E16" s="46" t="s">
        <v>142</v>
      </c>
      <c r="F16" s="46" t="s">
        <v>10</v>
      </c>
      <c r="G16" s="46" t="s">
        <v>126</v>
      </c>
      <c r="H16" s="46" t="s">
        <v>124</v>
      </c>
      <c r="I16" s="47">
        <v>292953764</v>
      </c>
      <c r="J16" s="48">
        <v>450881961</v>
      </c>
      <c r="K16" s="205">
        <v>0.7</v>
      </c>
      <c r="L16" s="206">
        <v>0.98</v>
      </c>
      <c r="M16" s="206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17" spans="6:13" ht="15" customHeight="1" x14ac:dyDescent="0.25">
      <c r="K17" s="10"/>
      <c r="L17" s="11"/>
      <c r="M17" s="11"/>
    </row>
    <row r="18" spans="6:13" ht="15" customHeight="1" x14ac:dyDescent="0.25">
      <c r="K18" s="10"/>
      <c r="L18" s="11"/>
      <c r="M18" s="11"/>
    </row>
    <row r="19" spans="6:13" ht="15" customHeight="1" x14ac:dyDescent="0.25">
      <c r="K19" s="10"/>
      <c r="L19" s="11"/>
      <c r="M19" s="11"/>
    </row>
    <row r="20" spans="6:13" ht="15" customHeight="1" x14ac:dyDescent="0.25">
      <c r="K20" s="10"/>
      <c r="L20" s="11"/>
      <c r="M20" s="11"/>
    </row>
    <row r="21" spans="6:13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6">
    <mergeCell ref="G6:I6"/>
    <mergeCell ref="G13:I13"/>
    <mergeCell ref="G12:I12"/>
    <mergeCell ref="A12:D12"/>
    <mergeCell ref="G8:I8"/>
    <mergeCell ref="G7:I7"/>
  </mergeCells>
  <conditionalFormatting sqref="N16:AA16">
    <cfRule type="cellIs" dxfId="12" priority="9" operator="equal">
      <formula>""</formula>
    </cfRule>
  </conditionalFormatting>
  <conditionalFormatting sqref="A21:XFD1048576 A16:J20 N16:XFD20 A1:XFD6 A8:XFD15 A7:J7 AB7:XFD7">
    <cfRule type="expression" dxfId="11" priority="8">
      <formula>ISERROR(A1)</formula>
    </cfRule>
  </conditionalFormatting>
  <conditionalFormatting sqref="N16:AA16 K9:AA11">
    <cfRule type="expression" dxfId="10" priority="11">
      <formula>IF(K$7="N/A",0,IF(K$7="Above",K9&lt;=(1-$J$4)*K$8,K9&gt;=(1+$J$4)*K$8))</formula>
    </cfRule>
    <cfRule type="expression" dxfId="9" priority="12">
      <formula>IF(OR(K$7="N/A",K9=0),0,IF(K$7="Above",K9&gt;=(1+$J$3)*K$8,K9&lt;=(1-$J$3)*K$8))</formula>
    </cfRule>
  </conditionalFormatting>
  <conditionalFormatting sqref="K16:M20">
    <cfRule type="expression" dxfId="8" priority="2">
      <formula>ISERROR(K16)</formula>
    </cfRule>
  </conditionalFormatting>
  <conditionalFormatting sqref="K7:AA7">
    <cfRule type="expression" dxfId="7" priority="1">
      <formula>ISERROR(K7)</formula>
    </cfRule>
  </conditionalFormatting>
  <dataValidations count="7">
    <dataValidation allowBlank="1" showInputMessage="1" showErrorMessage="1" errorTitle="Invalid Entry" error="Please select/enter a value from 1 to 5 from the dropdown." sqref="J9 K10:AA11 AB12:XFD13 J11 G9 A13:D13" xr:uid="{00000000-0002-0000-0700-000000000000}"/>
    <dataValidation allowBlank="1" showInputMessage="1" showErrorMessage="1" prompt="Cell will highlight red if performance deviates by more than this percentage of the client goal." sqref="J4" xr:uid="{00000000-0002-0000-0700-000001000000}"/>
    <dataValidation allowBlank="1" showInputMessage="1" showErrorMessage="1" prompt="Cell will highlight yellow if performance deviates by more than this percentage of the client goal." sqref="J3" xr:uid="{00000000-0002-0000-0700-000002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700-000003000000}">
      <formula1>BMRK_List</formula1>
    </dataValidation>
    <dataValidation type="list" allowBlank="1" showInputMessage="1" showErrorMessage="1" errorTitle="Invalid Entry" error="Please select/enter a value from 1 to 5 from the dropdown." sqref="K13:AA13" xr:uid="{00000000-0002-0000-07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700-000006000000}">
      <formula1>DeviceDropdown</formula1>
    </dataValidation>
    <dataValidation type="list" allowBlank="1" showInputMessage="1" showErrorMessage="1" sqref="X27" xr:uid="{00000000-0002-0000-0700-000004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0A6A607D-AA51-4FB5-9F90-12E14ED547A2}">
            <xm:f>NOT(ISERROR(SEARCH("NULL",N16)))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N16:AA16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5" width="30.453125" style="50" customWidth="1"/>
    <col min="6" max="6" width="2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52"/>
      <c r="F1" s="52"/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52"/>
      <c r="F2" s="52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52"/>
      <c r="F3" s="52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52"/>
      <c r="F4" s="52"/>
      <c r="G4" s="52"/>
      <c r="H4" s="16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52"/>
      <c r="F5" s="52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B6" s="77" t="s">
        <v>155</v>
      </c>
      <c r="C6" s="77"/>
      <c r="D6" s="234" t="s">
        <v>155</v>
      </c>
      <c r="E6" s="234"/>
      <c r="F6" s="70"/>
      <c r="G6" s="251" t="s">
        <v>133</v>
      </c>
      <c r="H6" s="252"/>
      <c r="I6" s="253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16"/>
      <c r="B7" s="28"/>
      <c r="C7" s="28"/>
      <c r="D7" s="28"/>
      <c r="E7" s="53"/>
      <c r="F7" s="53"/>
      <c r="G7" s="259" t="s">
        <v>132</v>
      </c>
      <c r="H7" s="228"/>
      <c r="I7" s="257"/>
      <c r="J7" s="10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26"/>
    </row>
    <row r="8" spans="1:121" s="18" customFormat="1" ht="15.75" customHeight="1" x14ac:dyDescent="0.35">
      <c r="B8" s="70"/>
      <c r="C8" s="70"/>
      <c r="D8" s="235" t="str">
        <f ca="1">MID(CELL("filename",A1),FIND("]",CELL("filename",A1))+1,255)&amp;" Level Scorecard"</f>
        <v>Campaign, Partner, Device Level Scorecard</v>
      </c>
      <c r="E8" s="235"/>
      <c r="F8" s="70"/>
      <c r="G8" s="231" t="s">
        <v>132</v>
      </c>
      <c r="H8" s="232"/>
      <c r="I8" s="258"/>
      <c r="J8" s="127" t="s">
        <v>16</v>
      </c>
      <c r="K8" s="128">
        <f>VLOOKUP(K6,Benchmark_Legend[],MATCH(ColumnCPD[[#This Row],[Metric]],Benchmark_Legend[#Headers],0),0)</f>
        <v>0.7</v>
      </c>
      <c r="L8" s="128">
        <f>VLOOKUP(L6,Benchmark_Legend[],MATCH(ColumnCPD[[#This Row],[Metric]],Benchmark_Legend[#Headers],0),0)</f>
        <v>0.98</v>
      </c>
      <c r="M8" s="128">
        <f>VLOOKUP(M6,Benchmark_Legend[],MATCH(ColumnCPD[[#This Row],[Metric]],Benchmark_Legend[#Headers],0),0)</f>
        <v>0.95</v>
      </c>
      <c r="N8" s="128">
        <f>VLOOKUP(N6,Benchmark_Legend[],MATCH(ColumnCPD[[#This Row],[Metric]],Benchmark_Legend[#Headers],0),0)</f>
        <v>0.05</v>
      </c>
      <c r="O8" s="128">
        <f>VLOOKUP(O6,Benchmark_Legend[],MATCH(ColumnCPD[[#This Row],[Metric]],Benchmark_Legend[#Headers],0),0)</f>
        <v>0.02</v>
      </c>
      <c r="P8" s="128">
        <f>VLOOKUP(P6,Benchmark_Legend[],MATCH(ColumnCPD[[#This Row],[Metric]],Benchmark_Legend[#Headers],0),0)</f>
        <v>0.02</v>
      </c>
      <c r="Q8" s="128">
        <f>VLOOKUP(Q6,Benchmark_Legend[],MATCH(ColumnCPD[[#This Row],[Metric]],Benchmark_Legend[#Headers],0),0)</f>
        <v>0.01</v>
      </c>
      <c r="R8" s="128">
        <f>VLOOKUP(R6,Benchmark_Legend[],MATCH(ColumnCPD[[#This Row],[Metric]],Benchmark_Legend[#Headers],0),0)</f>
        <v>0.01</v>
      </c>
      <c r="S8" s="128">
        <f>VLOOKUP(S6,Benchmark_Legend[],MATCH(ColumnCPD[[#This Row],[Metric]],Benchmark_Legend[#Headers],0),0)</f>
        <v>0.01</v>
      </c>
      <c r="T8" s="128">
        <f>VLOOKUP(T6,Benchmark_Legend[],MATCH(ColumnCPD[[#This Row],[Metric]],Benchmark_Legend[#Headers],0),0)</f>
        <v>0.03</v>
      </c>
      <c r="U8" s="128">
        <f>VLOOKUP(U6,Benchmark_Legend[],MATCH(ColumnCPD[[#This Row],[Metric]],Benchmark_Legend[#Headers],0),0)</f>
        <v>0.55000000000000004</v>
      </c>
      <c r="V8" s="128">
        <f>VLOOKUP(V6,Benchmark_Legend[],MATCH(ColumnCPD[[#This Row],[Metric]],Benchmark_Legend[#Headers],0),0)</f>
        <v>0.6</v>
      </c>
      <c r="W8" s="128">
        <f>VLOOKUP(W6,Benchmark_Legend[],MATCH(ColumnCPD[[#This Row],[Metric]],Benchmark_Legend[#Headers],0),0)</f>
        <v>0.5</v>
      </c>
      <c r="X8" s="128">
        <f>VLOOKUP(X6,Benchmark_Legend[],MATCH(ColumnCPD[[#This Row],[Metric]],Benchmark_Legend[#Headers],0),0)</f>
        <v>0.35</v>
      </c>
      <c r="Y8" s="128">
        <f>VLOOKUP(Y6,Benchmark_Legend[],MATCH(ColumnCPD[[#This Row],[Metric]],Benchmark_Legend[#Headers],0),0)</f>
        <v>0.25</v>
      </c>
      <c r="Z8" s="128">
        <f>VLOOKUP(Z6,Benchmark_Legend[],MATCH(ColumnCPD[[#This Row],[Metric]],Benchmark_Legend[#Headers],0),0)</f>
        <v>0.35</v>
      </c>
      <c r="AA8" s="128">
        <f>VLOOKUP(AA6,Benchmark_Legend[],MATCH(ColumnCPD[[#This Row],[Metric]],Benchmark_Legend[#Headers],0),0)</f>
        <v>0.25</v>
      </c>
      <c r="AB8" s="26"/>
    </row>
    <row r="9" spans="1:121" s="18" customFormat="1" ht="15.75" customHeight="1" thickBot="1" x14ac:dyDescent="0.4">
      <c r="B9" s="233" t="s">
        <v>154</v>
      </c>
      <c r="C9" s="233"/>
      <c r="D9" s="233"/>
      <c r="E9" s="233"/>
      <c r="F9" s="233"/>
      <c r="G9" s="118" t="s">
        <v>14</v>
      </c>
      <c r="H9" s="119"/>
      <c r="I9" s="120"/>
      <c r="J9" s="113" t="s">
        <v>130</v>
      </c>
      <c r="K9" s="100">
        <f t="array" aca="1" ref="K9" ca="1">SUM(
IF((DataCPD[Measured Rate 
'[% Measured']]&lt;&gt;"NULL"),
DataCPD[Measured Rate 
'[% Measured']]*
SUBTOTAL(9,OFFSET(DataCPD[Total Impressions],ROW(DataCPD[Total Impressions])-MIN(ROW(DataCPD[Total Impressions])),0,1))))
/
SUM(
IF((DataCPD[Measured Rate 
'[% Measured']]&lt;&gt;"NULL"),
SUBTOTAL(9,OFFSET(DataCPD[Total Impressions],ROW(DataCPD[Total Impressions])-MIN(ROW(DataCPD[Total Impressions])),0,1))))</f>
        <v>0.7</v>
      </c>
      <c r="L9" s="100">
        <f t="array" aca="1" ref="L9" ca="1">SUM(
IF((DataCPD[See-Through Rate 
'[% Visible']]&lt;&gt;"NULL"),
DataCPD[See-Through Rate 
'[% Visible']]*
SUBTOTAL(9,OFFSET(DataCPD[Total Impressions],ROW(DataCPD[Total Impressions])-MIN(ROW(DataCPD[Total Impressions])),0,1))))
/
SUM(
IF((DataCPD[See-Through Rate 
'[% Visible']]&lt;&gt;"NULL"),
SUBTOTAL(9,OFFSET(DataCPD[Total Impressions],ROW(DataCPD[Total Impressions])-MIN(ROW(DataCPD[Total Impressions])),0,1))))</f>
        <v>0.98</v>
      </c>
      <c r="M9" s="112">
        <f t="array" aca="1" ref="M9" ca="1">SUM(
IF((DataCPD[Brand Safety 
'[% Passed']]&lt;&gt;"NULL"),
DataCPD[Brand Safety 
'[% Passed']]*
SUBTOTAL(9,OFFSET(DataCPD[Total Impressions],ROW(DataCPD[Total Impressions])-MIN(ROW(DataCPD[Total Impressions])),0,1))))
/
SUM(
IF((DataCPD[Brand Safety 
'[% Passed']]&lt;&gt;"NULL"),
SUBTOTAL(9,OFFSET(DataCPD[Total Impressions],ROW(DataCPD[Total Impressions])-MIN(ROW(DataCPD[Total Impressions])),0,1))))</f>
        <v>0.95</v>
      </c>
      <c r="N9" s="112">
        <f t="array" aca="1" ref="N9" ca="1">SUM(
IF((DataCPD[Brand Safety 
'[% Failed']]&lt;&gt;"NULL"),
DataCPD[Brand Safety 
'[% Failed']]*
SUBTOTAL(9,OFFSET(DataCPD[Total Impressions],ROW(DataCPD[Total Impressions])-MIN(ROW(DataCPD[Total Impressions])),0,1))))
/
SUM(
IF((DataCPD[Brand Safety 
'[% Failed']]&lt;&gt;"NULL"),
SUBTOTAL(9,OFFSET(DataCPD[Total Impressions],ROW(DataCPD[Total Impressions])-MIN(ROW(DataCPD[Total Impressions])),0,1))))</f>
        <v>0.05</v>
      </c>
      <c r="O9" s="112">
        <f t="array" aca="1" ref="O9" ca="1">SUM(
IF((DataCPD[Brand Safety 
'[% Failed by Content']]&lt;&gt;"NULL"),
DataCPD[Brand Safety 
'[% Failed by Content']]*
SUBTOTAL(9,OFFSET(DataCPD[Total Impressions],ROW(DataCPD[Total Impressions])-MIN(ROW(DataCPD[Total Impressions])),0,1))))
/
SUM(
IF((DataCPD[Brand Safety 
'[% Failed by Content']]&lt;&gt;"NULL"),
SUBTOTAL(9,OFFSET(DataCPD[Total Impressions],ROW(DataCPD[Total Impressions])-MIN(ROW(DataCPD[Total Impressions])),0,1))))</f>
        <v>0.02</v>
      </c>
      <c r="P9" s="112">
        <f t="array" aca="1" ref="P9" ca="1">SUM(
IF((DataCPD[Brand Safety 
'[% Failed by Geo']]&lt;&gt;"NULL"),
DataCPD[Brand Safety 
'[% Failed by Geo']]*
SUBTOTAL(9,OFFSET(DataCPD[Total Impressions],ROW(DataCPD[Total Impressions])-MIN(ROW(DataCPD[Total Impressions])),0,1))))
/
SUM(
IF((DataCPD[Brand Safety 
'[% Failed by Geo']]&lt;&gt;"NULL"),
SUBTOTAL(9,OFFSET(DataCPD[Total Impressions],ROW(DataCPD[Total Impressions])-MIN(ROW(DataCPD[Total Impressions])),0,1))))</f>
        <v>0.02</v>
      </c>
      <c r="Q9" s="100">
        <f t="array" aca="1" ref="Q9" ca="1">SUM(
IF((DataCPD[Brand Safety 
'[% Failed by Keyword']]&lt;&gt;"NULL"),
DataCPD[Brand Safety 
'[% Failed by Keyword']]*
SUBTOTAL(9,OFFSET(DataCPD[Total Impressions],ROW(DataCPD[Total Impressions])-MIN(ROW(DataCPD[Total Impressions])),0,1))))
/
SUM(
IF((DataCPD[Brand Safety 
'[% Failed by Keyword']]&lt;&gt;"NULL"),
SUBTOTAL(9,OFFSET(DataCPD[Total Impressions],ROW(DataCPD[Total Impressions])-MIN(ROW(DataCPD[Total Impressions])),0,1))))</f>
        <v>0.01</v>
      </c>
      <c r="R9" s="100">
        <f t="array" aca="1" ref="R9" ca="1">SUM(
IF((DataCPD[Brand Safety 
'[% Failed by Blacklist']]&lt;&gt;"NULL"),
DataCPD[Brand Safety 
'[% Failed by Blacklist']]*
SUBTOTAL(9,OFFSET(DataCPD[Total Impressions],ROW(DataCPD[Total Impressions])-MIN(ROW(DataCPD[Total Impressions])),0,1))))
/
SUM(
IF((DataCPD[Brand Safety 
'[% Failed by Blacklist']]&lt;&gt;"NULL"),
SUBTOTAL(9,OFFSET(DataCPD[Total Impressions],ROW(DataCPD[Total Impressions])-MIN(ROW(DataCPD[Total Impressions])),0,1))))</f>
        <v>0.01</v>
      </c>
      <c r="S9" s="100">
        <f t="array" aca="1" ref="S9" ca="1">SUM(
IF((DataCPD[Brand Safety 
'[% Failed by Language']]&lt;&gt;"NULL"),
DataCPD[Brand Safety 
'[% Failed by Language']]*
SUBTOTAL(9,OFFSET(DataCPD[Total Impressions],ROW(DataCPD[Total Impressions])-MIN(ROW(DataCPD[Total Impressions])),0,1))))
/
SUM(
IF((DataCPD[Brand Safety 
'[% Failed by Language']]&lt;&gt;"NULL"),
SUBTOTAL(9,OFFSET(DataCPD[Total Impressions],ROW(DataCPD[Total Impressions])-MIN(ROW(DataCPD[Total Impressions])),0,1))))</f>
        <v>0.01</v>
      </c>
      <c r="T9" s="100">
        <f t="array" aca="1" ref="T9" ca="1">SUM(
IF((DataCPD[Fraud 
'[% Fraud']]&lt;&gt;"NULL"),
DataCPD[Fraud 
'[% Fraud']]*
SUBTOTAL(9,OFFSET(DataCPD[Total Impressions],ROW(DataCPD[Total Impressions])-MIN(ROW(DataCPD[Total Impressions])),0,1))))
/
SUM(
IF((DataCPD[Fraud 
'[% Fraud']]&lt;&gt;"NULL"),
SUBTOTAL(9,OFFSET(DataCPD[Total Impressions],ROW(DataCPD[Total Impressions])-MIN(ROW(DataCPD[Total Impressions])),0,1))))</f>
        <v>0.03</v>
      </c>
      <c r="U9" s="100">
        <f t="array" aca="1" ref="U9" ca="1">SUM(
IF((DataCPD[Viewability 
'[Total Viewable Rate (Total Net Metrics)']]&lt;&gt;"NULL"),
DataCPD[Viewability 
'[Total Viewable Rate (Total Net Metrics)']]*SUBTOTAL(9,OFFSET(DataCPD[Measured Impressions],ROW(DataCPD[Measured Impressions])-MIN(ROW(DataCPD[Measured Impressions])),0,1))))
/
SUM(
IF((DataCPD[Viewability 
'[Total Viewable Rate (Total Net Metrics)']]&lt;&gt;"NULL"),
SUBTOTAL(9,OFFSET(DataCPD[Measured Impressions],ROW(DataCPD[Measured Impressions])-MIN(ROW(DataCPD[Measured Impressions])),0,1))))</f>
        <v>0.55000000000000004</v>
      </c>
      <c r="V9" s="100">
        <f t="array" aca="1" ref="V9" ca="1">SUM(
IF((DataCPD[Display Viewability 
'[Total Viewable Rate (Total Net Metrics)']]&lt;&gt;"NULL"),
DataCPD[Display Viewability 
'[Total Viewable Rate (Total Net Metrics)']]*SUBTOTAL(9,OFFSET(DataCPD[Measured Impressions],ROW(DataCPD[Measured Impressions])-MIN(ROW(DataCPD[Measured Impressions])),0,1))))
/
SUM(
IF((DataCPD[Display Viewability 
'[Total Viewable Rate (Total Net Metrics)']]&lt;&gt;"NULL"),
SUBTOTAL(9,OFFSET(DataCPD[Measured Impressions],ROW(DataCPD[Measured Impressions])-MIN(ROW(DataCPD[Measured Impressions])),0,1))))</f>
        <v>0.6</v>
      </c>
      <c r="W9" s="112">
        <f t="array" aca="1" ref="W9" ca="1">SUM(
IF((DataCPD[Video Viewability 
'[Total Viewable Rate (Total Net Metrics)']]&lt;&gt;"NULL"),
DataCPD[Video Viewability 
'[Total Viewable Rate (Total Net Metrics)']]*SUBTOTAL(9,OFFSET(DataCPD[Measured Impressions],ROW(DataCPD[Measured Impressions])-MIN(ROW(DataCPD[Measured Impressions])),0,1))))
/
SUM(
IF((DataCPD[Video Viewability 
'[Total Viewable Rate (Total Net Metrics)']]&lt;&gt;"NULL"),
SUBTOTAL(9,OFFSET(DataCPD[Measured Impressions],ROW(DataCPD[Measured Impressions])-MIN(ROW(DataCPD[Measured Impressions])),0,1))))</f>
        <v>0.5</v>
      </c>
      <c r="X9" s="100">
        <f t="array" aca="1" ref="X9" ca="1">SUM(
IF((DataCPD[GroupM Viewability 
'[% Display Ads Fully in View']]&lt;&gt;"NULL"),
DataCPD[GroupM Viewability 
'[% Display Ads Fully in View']]*SUBTOTAL(9,OFFSET(DataCPD[Measured Impressions],ROW(DataCPD[Measured Impressions])-MIN(ROW(DataCPD[Measured Impressions])),0,1))))
/
SUM(
IF((DataCPD[GroupM Viewability 
'[% Display Ads Fully in View']]&lt;&gt;"NULL"),
SUBTOTAL(9,OFFSET(DataCPD[Measured Impressions],ROW(DataCPD[Measured Impressions])-MIN(ROW(DataCPD[Measured Impressions])),0,1))))</f>
        <v>0.35</v>
      </c>
      <c r="Y9" s="112">
        <f t="array" aca="1" ref="Y9" ca="1">SUM(
IF((DataCPD[GroupM Viewability 
'[% Videos Fully in View']]&lt;&gt;"NULL"),
DataCPD[GroupM Viewability 
'[% Videos Fully in View']]*SUBTOTAL(9,OFFSET(DataCPD[Measured Impressions],ROW(DataCPD[Measured Impressions])-MIN(ROW(DataCPD[Measured Impressions])),0,1))))
/
SUM(
IF((DataCPD[GroupM Viewability 
'[% Videos Fully in View']]&lt;&gt;"NULL"),
SUBTOTAL(9,OFFSET(DataCPD[Measured Impressions],ROW(DataCPD[Measured Impressions])-MIN(ROW(DataCPD[Measured Impressions])),0,1))))</f>
        <v>0.25</v>
      </c>
      <c r="Z9" s="100">
        <f t="array" aca="1" ref="Z9" ca="1">SUM(
IF((DataCPD[Publicis Viewability 
'[% Display Ads Fully in View']]&lt;&gt;"NULL"),
DataCPD[Publicis Viewability 
'[% Display Ads Fully in View']]*SUBTOTAL(9,OFFSET(DataCPD[Measured Impressions],ROW(DataCPD[Measured Impressions])-MIN(ROW(DataCPD[Measured Impressions])),0,1))))
/
SUM(
IF((DataCPD[Publicis Viewability 
'[% Display Ads Fully in View']]&lt;&gt;"NULL"),
SUBTOTAL(9,OFFSET(DataCPD[Measured Impressions],ROW(DataCPD[Measured Impressions])-MIN(ROW(DataCPD[Measured Impressions])),0,1))))</f>
        <v>0.35</v>
      </c>
      <c r="AA9" s="100">
        <f t="array" aca="1" ref="AA9" ca="1">SUM(
IF((DataCPD[Publicis Viewability 
'[% Videos Fully in View']]&lt;&gt;"NULL"),
DataCPD[Publicis Viewability 
'[% Videos Fully in View']]*SUBTOTAL(9,OFFSET(DataCPD[Measured Impressions],ROW(DataCPD[Measured Impressions])-MIN(ROW(DataCPD[Measured Impressions])),0,1))))
/
SUM(
IF((DataCPD[Publicis Viewability 
'[% Videos Fully in View']]&lt;&gt;"NULL"),
SUBTOTAL(9,OFFSET(DataCPD[Measured Impressions],ROW(DataCPD[Measured Impressions])-MIN(ROW(DataCPD[Measured Impressions])),0,1))))</f>
        <v>0.25</v>
      </c>
      <c r="AB9" s="26"/>
    </row>
    <row r="10" spans="1:121" s="18" customFormat="1" ht="15.75" hidden="1" customHeight="1" x14ac:dyDescent="0.35">
      <c r="A10" s="55"/>
      <c r="B10" s="56"/>
      <c r="C10" s="56"/>
      <c r="D10" s="56"/>
      <c r="E10" s="57"/>
      <c r="F10" s="63"/>
      <c r="G10" s="116"/>
      <c r="H10" s="116"/>
      <c r="I10" s="117"/>
      <c r="J10" s="102" t="s">
        <v>126</v>
      </c>
      <c r="K10" s="31">
        <f t="array" aca="1" ref="K10" ca="1">SUM(
IF(DataCPD[Measured Rate 
'[% Measured']]&lt;&gt;"NULL",
IF(DataCPD[Device Type]=ColumnCPD[[#This Row],[Metric]],
DataCPD[Measured Rate 
'[% Measured']]*
SUBTOTAL(9,OFFSET(DataCPD[Total Impressions],ROW(DataCPD[Total Impressions])-MIN(ROW(DataCPD[Total Impressions])),0,1)))))
/
SUM(
IF(DataCPD[Measured Rate 
'[% Measured']]&lt;&gt;"NULL",
IF(DataCPD[Device Type]=ColumnCPD[[#This Row],[Metric]],
SUBTOTAL(9,OFFSET(DataCPD[Total Impressions],ROW(DataCPD[Total Impressions])-MIN(ROW(DataCPD[Total Impressions])),0,1)))))</f>
        <v>0.7</v>
      </c>
      <c r="L10" s="32">
        <f t="array" aca="1" ref="L10" ca="1">SUM(
IF(DataCPD[See-Through Rate 
'[% Visible']]&lt;&gt;"NULL",
IF(DataCPD[Device Type]=ColumnCPD[[#This Row],[Metric]],
DataCPD[See-Through Rate 
'[% Visible']]*
SUBTOTAL(9,OFFSET(DataCPD[Total Impressions],ROW(DataCPD[Total Impressions])-MIN(ROW(DataCPD[Total Impressions])),0,1)))))
/
SUM(
IF(DataCPD[See-Through Rate 
'[% Visible']]&lt;&gt;"NULL",
IF(DataCPD[Device Type]=ColumnCPD[[#This Row],[Metric]],
SUBTOTAL(9,OFFSET(DataCPD[Total Impressions],ROW(DataCPD[Total Impressions])-MIN(ROW(DataCPD[Total Impressions])),0,1)))))</f>
        <v>0.98</v>
      </c>
      <c r="M10" s="32">
        <f t="array" aca="1" ref="M10" ca="1">SUM(
IF(DataCPD[Brand Safety 
'[% Passed']]&lt;&gt;"NULL",
IF(DataCPD[Device Type]=ColumnCPD[[#This Row],[Metric]],
DataCPD[Brand Safety 
'[% Passed']]*
SUBTOTAL(9,OFFSET(DataCPD[Total Impressions],ROW(DataCPD[Total Impressions])-MIN(ROW(DataCPD[Total Impressions])),0,1)))))
/
SUM(
IF(DataCPD[Brand Safety 
'[% Passed']]&lt;&gt;"NULL",
IF(DataCPD[Device Type]=ColumnCPD[[#This Row],[Metric]],
SUBTOTAL(9,OFFSET(DataCPD[Total Impressions],ROW(DataCPD[Total Impressions])-MIN(ROW(DataCPD[Total Impressions])),0,1)))))</f>
        <v>0.95</v>
      </c>
      <c r="N10" s="32">
        <f t="array" aca="1" ref="N10" ca="1">SUM(
IF(DataCPD[Brand Safety 
'[% Failed']]&lt;&gt;"NULL",
IF(DataCPD[Device Type]=ColumnCPD[[#This Row],[Metric]],
DataCPD[Brand Safety 
'[% Failed']]*
SUBTOTAL(9,OFFSET(DataCPD[Total Impressions],ROW(DataCPD[Total Impressions])-MIN(ROW(DataCPD[Total Impressions])),0,1)))))
/
SUM(
IF(DataCPD[Brand Safety 
'[% Failed']]&lt;&gt;"NULL",
IF(DataCPD[Device Type]=ColumnCPD[[#This Row],[Metric]],
SUBTOTAL(9,OFFSET(DataCPD[Total Impressions],ROW(DataCPD[Total Impressions])-MIN(ROW(DataCPD[Total Impressions])),0,1)))))</f>
        <v>0.05</v>
      </c>
      <c r="O10" s="32">
        <f t="array" aca="1" ref="O10" ca="1">SUM(
IF(DataCPD[Brand Safety 
'[% Failed by Content']]&lt;&gt;"NULL",
IF(DataCPD[Device Type]=ColumnCPD[[#This Row],[Metric]],
DataCPD[Brand Safety 
'[% Failed by Content']]*
SUBTOTAL(9,OFFSET(DataCPD[Total Impressions],ROW(DataCPD[Total Impressions])-MIN(ROW(DataCPD[Total Impressions])),0,1)))))
/
SUM(
IF(DataCPD[Brand Safety 
'[% Failed by Content']]&lt;&gt;"NULL",
IF(DataCPD[Device Type]=ColumnCPD[[#This Row],[Metric]],
SUBTOTAL(9,OFFSET(DataCPD[Total Impressions],ROW(DataCPD[Total Impressions])-MIN(ROW(DataCPD[Total Impressions])),0,1)))))</f>
        <v>0.02</v>
      </c>
      <c r="P10" s="32">
        <f t="array" aca="1" ref="P10" ca="1">SUM(
IF(DataCPD[Brand Safety 
'[% Failed by Geo']]&lt;&gt;"NULL",
IF(DataCPD[Device Type]=ColumnCPD[[#This Row],[Metric]],
DataCPD[Brand Safety 
'[% Failed by Geo']]*
SUBTOTAL(9,OFFSET(DataCPD[Total Impressions],ROW(DataCPD[Total Impressions])-MIN(ROW(DataCPD[Total Impressions])),0,1)))))
/
SUM(
IF(DataCPD[Brand Safety 
'[% Failed by Geo']]&lt;&gt;"NULL",
IF(DataCPD[Device Type]=ColumnCPD[[#This Row],[Metric]],
SUBTOTAL(9,OFFSET(DataCPD[Total Impressions],ROW(DataCPD[Total Impressions])-MIN(ROW(DataCPD[Total Impressions])),0,1)))))</f>
        <v>0.02</v>
      </c>
      <c r="Q10" s="32">
        <f t="array" aca="1" ref="Q10" ca="1">SUM(
IF(DataCPD[Brand Safety 
'[% Failed by Keyword']]&lt;&gt;"NULL",
IF(DataCPD[Device Type]=ColumnCPD[[#This Row],[Metric]],
DataCPD[Brand Safety 
'[% Failed by Keyword']]*
SUBTOTAL(9,OFFSET(DataCPD[Total Impressions],ROW(DataCPD[Total Impressions])-MIN(ROW(DataCPD[Total Impressions])),0,1)))))
/
SUM(
IF(DataCPD[Brand Safety 
'[% Failed by Keyword']]&lt;&gt;"NULL",
IF(DataCPD[Device Type]=ColumnCPD[[#This Row],[Metric]],
SUBTOTAL(9,OFFSET(DataCPD[Total Impressions],ROW(DataCPD[Total Impressions])-MIN(ROW(DataCPD[Total Impressions])),0,1)))))</f>
        <v>0.01</v>
      </c>
      <c r="R10" s="32">
        <f t="array" aca="1" ref="R10" ca="1">SUM(
IF(DataCPD[Brand Safety 
'[% Failed by Blacklist']]&lt;&gt;"NULL",
IF(DataCPD[Device Type]=ColumnCPD[[#This Row],[Metric]],
DataCPD[Brand Safety 
'[% Failed by Blacklist']]*
SUBTOTAL(9,OFFSET(DataCPD[Total Impressions],ROW(DataCPD[Total Impressions])-MIN(ROW(DataCPD[Total Impressions])),0,1)))))
/
SUM(
IF(DataCPD[Brand Safety 
'[% Failed by Blacklist']]&lt;&gt;"NULL",
IF(DataCPD[Device Type]=ColumnCPD[[#This Row],[Metric]],
SUBTOTAL(9,OFFSET(DataCPD[Total Impressions],ROW(DataCPD[Total Impressions])-MIN(ROW(DataCPD[Total Impressions])),0,1)))))</f>
        <v>0.01</v>
      </c>
      <c r="S10" s="32">
        <f t="array" aca="1" ref="S10" ca="1">SUM(
IF(DataCPD[Brand Safety 
'[% Failed by Language']]&lt;&gt;"NULL",
IF(DataCPD[Device Type]=ColumnCPD[[#This Row],[Metric]],
DataCPD[Brand Safety 
'[% Failed by Language']]*
SUBTOTAL(9,OFFSET(DataCPD[Total Impressions],ROW(DataCPD[Total Impressions])-MIN(ROW(DataCPD[Total Impressions])),0,1)))))
/
SUM(
IF(DataCPD[Brand Safety 
'[% Failed by Language']]&lt;&gt;"NULL",
IF(DataCPD[Device Type]=ColumnCPD[[#This Row],[Metric]],
SUBTOTAL(9,OFFSET(DataCPD[Total Impressions],ROW(DataCPD[Total Impressions])-MIN(ROW(DataCPD[Total Impressions])),0,1)))))</f>
        <v>0.01</v>
      </c>
      <c r="T10" s="32">
        <f t="array" aca="1" ref="T10" ca="1">SUM(
IF(DataCPD[Fraud 
'[% Fraud']]&lt;&gt;"NULL",
IF(DataCPD[Device Type]=ColumnCPD[[#This Row],[Metric]],
DataCPD[Fraud 
'[% Fraud']]*
SUBTOTAL(9,OFFSET(DataCPD[Total Impressions],ROW(DataCPD[Total Impressions])-MIN(ROW(DataCPD[Total Impressions])),0,1)))))
/
SUM(
IF(DataCPD[Fraud 
'[% Fraud']]&lt;&gt;"NULL",
IF(DataCPD[Device Type]=ColumnCPD[[#This Row],[Metric]],
SUBTOTAL(9,OFFSET(DataCPD[Total Impressions],ROW(DataCPD[Total Impressions])-MIN(ROW(DataCPD[Total Impressions])),0,1)))))</f>
        <v>0.03</v>
      </c>
      <c r="U10" s="32">
        <f t="array" aca="1" ref="U10" ca="1">SUM(
IF(DataCPD[Viewability 
'[Total Viewable Rate (Total Net Metrics)']]&lt;&gt;"NULL",
IF(DataCPD[Device Type]=ColumnCPD[[#This Row],[Metric]],
DataCPD[Viewability 
'[Total Viewable Rate (Total Net Metrics)']]*
SUBTOTAL(9,OFFSET(DataCPD[Total Impressions],ROW(DataCPD[Total Impressions])-MIN(ROW(DataCPD[Total Impressions])),0,1)))))
/
SUM(
IF(DataCPD[Viewability 
'[Total Viewable Rate (Total Net Metrics)']]&lt;&gt;"NULL",
IF(DataCPD[Device Type]=ColumnCPD[[#This Row],[Metric]],
SUBTOTAL(9,OFFSET(DataCPD[Total Impressions],ROW(DataCPD[Total Impressions])-MIN(ROW(DataCPD[Total Impressions])),0,1)))))</f>
        <v>0.55000000000000004</v>
      </c>
      <c r="V10" s="32">
        <f t="array" aca="1" ref="V10" ca="1">SUM(
IF(DataCPD[Display Viewability 
'[Total Viewable Rate (Total Net Metrics)']]&lt;&gt;"NULL",
IF(DataCPD[Device Type]=ColumnCPD[[#This Row],[Metric]],
DataCPD[Display Viewability 
'[Total Viewable Rate (Total Net Metrics)']]*
SUBTOTAL(9,OFFSET(DataCPD[Total Impressions],ROW(DataCPD[Total Impressions])-MIN(ROW(DataCPD[Total Impressions])),0,1)))))
/
SUM(
IF(DataCPD[Display Viewability 
'[Total Viewable Rate (Total Net Metrics)']]&lt;&gt;"NULL",
IF(DataCPD[Device Type]=ColumnCPD[[#This Row],[Metric]],
SUBTOTAL(9,OFFSET(DataCPD[Total Impressions],ROW(DataCPD[Total Impressions])-MIN(ROW(DataCPD[Total Impressions])),0,1)))))</f>
        <v>0.59999999999999987</v>
      </c>
      <c r="W10" s="32">
        <f t="array" aca="1" ref="W10" ca="1">SUM(
IF(DataCPD[Video Viewability 
'[Total Viewable Rate (Total Net Metrics)']]&lt;&gt;"NULL",
IF(DataCPD[Device Type]=ColumnCPD[[#This Row],[Metric]],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IF(DataCPD[Device Type]=ColumnCPD[[#This Row],[Metric]],
SUBTOTAL(9,OFFSET(DataCPD[Total Impressions],ROW(DataCPD[Total Impressions])-MIN(ROW(DataCPD[Total Impressions])),0,1)))))</f>
        <v>0.5</v>
      </c>
      <c r="X10" s="32">
        <f t="array" aca="1" ref="X10" ca="1">SUM(
IF(DataCPD[GroupM Viewability 
'[% Display Ads Fully in View']]&lt;&gt;"NULL",
IF(DataCPD[Device Type]=ColumnCPD[[#This Row],[Metric]],
DataCPD[GroupM Viewability 
'[% Display Ads Fully in View']]*
SUBTOTAL(9,OFFSET(DataCPD[Total Impressions],ROW(DataCPD[Total Impressions])-MIN(ROW(DataCPD[Total Impressions])),0,1)))))
/
SUM(
IF(DataCPD[GroupM Viewability 
'[% Display Ads Fully in View']]&lt;&gt;"NULL",
IF(DataCPD[Device Type]=ColumnCPD[[#This Row],[Metric]],
SUBTOTAL(9,OFFSET(DataCPD[Total Impressions],ROW(DataCPD[Total Impressions])-MIN(ROW(DataCPD[Total Impressions])),0,1)))))</f>
        <v>0.35</v>
      </c>
      <c r="Y10" s="32">
        <f t="array" aca="1" ref="Y10" ca="1">SUM(
IF(DataCPD[GroupM Viewability 
'[% Videos Fully in View']]&lt;&gt;"NULL",
IF(DataCPD[Device Type]=ColumnCPD[[#This Row],[Metric]],
DataCPD[GroupM Viewability 
'[% Videos Fully in View']]*
SUBTOTAL(9,OFFSET(DataCPD[Total Impressions],ROW(DataCPD[Total Impressions])-MIN(ROW(DataCPD[Total Impressions])),0,1)))))
/
SUM(
IF(DataCPD[GroupM Viewability 
'[% Videos Fully in View']]&lt;&gt;"NULL",
IF(DataCPD[Device Type]=ColumnCPD[[#This Row],[Metric]],
SUBTOTAL(9,OFFSET(DataCPD[Total Impressions],ROW(DataCPD[Total Impressions])-MIN(ROW(DataCPD[Total Impressions])),0,1)))))</f>
        <v>0.25</v>
      </c>
      <c r="Z10" s="32">
        <f t="array" aca="1" ref="Z10" ca="1">SUM(
IF(DataCPD[Publicis Viewability 
'[% Display Ads Fully in View']]&lt;&gt;"NULL",
IF(DataCPD[Device Type]=ColumnCPD[[#This Row],[Metric]],
DataCPD[Publicis Viewability 
'[% Display Ads Fully in View']]*
SUBTOTAL(9,OFFSET(DataCPD[Total Impressions],ROW(DataCPD[Total Impressions])-MIN(ROW(DataCPD[Total Impressions])),0,1)))))
/
SUM(
IF(DataCPD[Publicis Viewability 
'[% Display Ads Fully in View']]&lt;&gt;"NULL",
IF(DataCPD[Device Type]=ColumnCPD[[#This Row],[Metric]],
SUBTOTAL(9,OFFSET(DataCPD[Total Impressions],ROW(DataCPD[Total Impressions])-MIN(ROW(DataCPD[Total Impressions])),0,1)))))</f>
        <v>0.35</v>
      </c>
      <c r="AA10" s="32">
        <f t="array" aca="1" ref="AA10" ca="1">SUM(
IF(DataCPD[Publicis Viewability 
'[% Videos Fully in View']]&lt;&gt;"NULL",
IF(DataCPD[Device Type]=ColumnCPD[[#This Row],[Metric]],
DataCPD[Publicis Viewability 
'[% Videos Fully in View']]*
SUBTOTAL(9,OFFSET(DataCPD[Total Impressions],ROW(DataCPD[Total Impressions])-MIN(ROW(DataCPD[Total Impressions])),0,1)))))
/
SUM(
IF(DataCPD[Publicis Viewability 
'[% Videos Fully in View']]&lt;&gt;"NULL",
IF(DataCPD[Device Type]=ColumnCPD[[#This Row],[Metric]],
SUBTOTAL(9,OFFSET(DataCPD[Total Impressions],ROW(DataCPD[Total Impressions])-MIN(ROW(DataCPD[Total Impressions])),0,1)))))</f>
        <v>0.25</v>
      </c>
      <c r="AB10" s="26"/>
    </row>
    <row r="11" spans="1:121" s="18" customFormat="1" ht="16.5" hidden="1" customHeight="1" x14ac:dyDescent="0.35">
      <c r="A11" s="222"/>
      <c r="B11" s="223"/>
      <c r="C11" s="223"/>
      <c r="D11" s="239"/>
      <c r="E11" s="59"/>
      <c r="F11" s="59"/>
      <c r="G11" s="116"/>
      <c r="H11" s="116"/>
      <c r="I11" s="117"/>
      <c r="J11" s="102" t="s">
        <v>140</v>
      </c>
      <c r="K11" s="31" t="e">
        <f t="array" aca="1" ref="K11" ca="1">SUM(
IF(DataCPD[Measured Rate 
'[% Measured']]&lt;&gt;"NULL",
IF(DataCPD[Brand]=ColumnCPD[[#This Row],[Metric]],
DataCPD[Measured Rate 
'[% Measured']]*
SUBTOTAL(9,OFFSET(DataCPD[Total Impressions],ROW(DataCPD[Total Impressions])-MIN(ROW(DataCPD[Total Impressions])),0,1)))))
/
SUM(
IF(DataCPD[Measured Rate 
'[% Measured']]&lt;&gt;"NULL",
IF(DataCPD[Brand]=ColumnCPD[[#This Row],[Metric]],
SUBTOTAL(9,OFFSET(DataCPD[Total Impressions],ROW(DataCPD[Total Impressions])-MIN(ROW(DataCPD[Total Impressions])),0,1)))))</f>
        <v>#DIV/0!</v>
      </c>
      <c r="L11" s="32" t="e">
        <f t="array" aca="1" ref="L11" ca="1">SUM(
IF(DataCPD[See-Through Rate 
'[% Visible']]&lt;&gt;"NULL",
IF(DataCPD[Brand]=ColumnCPD[[#This Row],[Metric]],
DataCPD[See-Through Rate 
'[% Visible']]*
SUBTOTAL(9,OFFSET(DataCPD[Total Impressions],ROW(DataCPD[Total Impressions])-MIN(ROW(DataCPD[Total Impressions])),0,1)))))
/
SUM(
IF(DataCPD[See-Through Rate 
'[% Visible']]&lt;&gt;"NULL",
IF(DataCPD[Brand]=ColumnCPD[[#This Row],[Metric]],
SUBTOTAL(9,OFFSET(DataCPD[Total Impressions],ROW(DataCPD[Total Impressions])-MIN(ROW(DataCPD[Total Impressions])),0,1)))))</f>
        <v>#DIV/0!</v>
      </c>
      <c r="M11" s="32" t="e">
        <f t="array" aca="1" ref="M11" ca="1">SUM(
IF(DataCPD[Brand Safety 
'[% Passed']]&lt;&gt;"NULL",
IF(DataCPD[Brand]=ColumnCPD[[#This Row],[Metric]],
DataCPD[Brand Safety 
'[% Passed']]*
SUBTOTAL(9,OFFSET(DataCPD[Total Impressions],ROW(DataCPD[Total Impressions])-MIN(ROW(DataCPD[Total Impressions])),0,1)))))
/
SUM(
IF(DataCPD[Brand Safety 
'[% Passed']]&lt;&gt;"NULL",
IF(DataCPD[Brand]=ColumnCPD[[#This Row],[Metric]],
SUBTOTAL(9,OFFSET(DataCPD[Total Impressions],ROW(DataCPD[Total Impressions])-MIN(ROW(DataCPD[Total Impressions])),0,1)))))</f>
        <v>#DIV/0!</v>
      </c>
      <c r="N11" s="32" t="e">
        <f t="array" aca="1" ref="N11" ca="1">SUM(
IF(DataCPD[Brand Safety 
'[% Failed']]&lt;&gt;"NULL",
IF(DataCPD[Brand]=ColumnCPD[[#This Row],[Metric]],
DataCPD[Brand Safety 
'[% Failed']]*
SUBTOTAL(9,OFFSET(DataCPD[Total Impressions],ROW(DataCPD[Total Impressions])-MIN(ROW(DataCPD[Total Impressions])),0,1)))))
/
SUM(
IF(DataCPD[Brand Safety 
'[% Failed']]&lt;&gt;"NULL",
IF(DataCPD[Brand]=ColumnCPD[[#This Row],[Metric]],
SUBTOTAL(9,OFFSET(DataCPD[Total Impressions],ROW(DataCPD[Total Impressions])-MIN(ROW(DataCPD[Total Impressions])),0,1)))))</f>
        <v>#DIV/0!</v>
      </c>
      <c r="O11" s="32" t="e">
        <f t="array" aca="1" ref="O11" ca="1">SUM(
IF(DataCPD[Brand Safety 
'[% Failed by Content']]&lt;&gt;"NULL",
IF(DataCPD[Brand]=ColumnCPD[[#This Row],[Metric]],
DataCPD[Brand Safety 
'[% Failed by Content']]*
SUBTOTAL(9,OFFSET(DataCPD[Total Impressions],ROW(DataCPD[Total Impressions])-MIN(ROW(DataCPD[Total Impressions])),0,1)))))
/
SUM(
IF(DataCPD[Brand Safety 
'[% Failed by Content']]&lt;&gt;"NULL",
IF(DataCPD[Brand]=ColumnCPD[[#This Row],[Metric]],
SUBTOTAL(9,OFFSET(DataCPD[Total Impressions],ROW(DataCPD[Total Impressions])-MIN(ROW(DataCPD[Total Impressions])),0,1)))))</f>
        <v>#DIV/0!</v>
      </c>
      <c r="P11" s="32" t="e">
        <f t="array" aca="1" ref="P11" ca="1">SUM(
IF(DataCPD[Brand Safety 
'[% Failed by Geo']]&lt;&gt;"NULL",
IF(DataCPD[Brand]=ColumnCPD[[#This Row],[Metric]],
DataCPD[Brand Safety 
'[% Failed by Geo']]*
SUBTOTAL(9,OFFSET(DataCPD[Total Impressions],ROW(DataCPD[Total Impressions])-MIN(ROW(DataCPD[Total Impressions])),0,1)))))
/
SUM(
IF(DataCPD[Brand Safety 
'[% Failed by Geo']]&lt;&gt;"NULL",
IF(DataCPD[Brand]=ColumnCPD[[#This Row],[Metric]],
SUBTOTAL(9,OFFSET(DataCPD[Total Impressions],ROW(DataCPD[Total Impressions])-MIN(ROW(DataCPD[Total Impressions])),0,1)))))</f>
        <v>#DIV/0!</v>
      </c>
      <c r="Q11" s="32" t="e">
        <f t="array" aca="1" ref="Q11" ca="1">SUM(
IF(DataCPD[Brand Safety 
'[% Failed by Keyword']]&lt;&gt;"NULL",
IF(DataCPD[Brand]=ColumnCPD[[#This Row],[Metric]],
DataCPD[Brand Safety 
'[% Failed by Keyword']]*
SUBTOTAL(9,OFFSET(DataCPD[Total Impressions],ROW(DataCPD[Total Impressions])-MIN(ROW(DataCPD[Total Impressions])),0,1)))))
/
SUM(
IF(DataCPD[Brand Safety 
'[% Failed by Keyword']]&lt;&gt;"NULL",
IF(DataCPD[Brand]=ColumnCPD[[#This Row],[Metric]],
SUBTOTAL(9,OFFSET(DataCPD[Total Impressions],ROW(DataCPD[Total Impressions])-MIN(ROW(DataCPD[Total Impressions])),0,1)))))</f>
        <v>#DIV/0!</v>
      </c>
      <c r="R11" s="32" t="e">
        <f t="array" aca="1" ref="R11" ca="1">SUM(
IF(DataCPD[Brand Safety 
'[% Failed by Blacklist']]&lt;&gt;"NULL",
IF(DataCPD[Brand]=ColumnCPD[[#This Row],[Metric]],
DataCPD[Brand Safety 
'[% Failed by Blacklist']]*
SUBTOTAL(9,OFFSET(DataCPD[Total Impressions],ROW(DataCPD[Total Impressions])-MIN(ROW(DataCPD[Total Impressions])),0,1)))))
/
SUM(
IF(DataCPD[Brand Safety 
'[% Failed by Blacklist']]&lt;&gt;"NULL",
IF(DataCPD[Brand]=ColumnCPD[[#This Row],[Metric]],
SUBTOTAL(9,OFFSET(DataCPD[Total Impressions],ROW(DataCPD[Total Impressions])-MIN(ROW(DataCPD[Total Impressions])),0,1)))))</f>
        <v>#DIV/0!</v>
      </c>
      <c r="S11" s="32" t="e">
        <f t="array" aca="1" ref="S11" ca="1">SUM(
IF(DataCPD[Brand Safety 
'[% Failed by Language']]&lt;&gt;"NULL",
IF(DataCPD[Brand]=ColumnCPD[[#This Row],[Metric]],
DataCPD[Brand Safety 
'[% Failed by Language']]*
SUBTOTAL(9,OFFSET(DataCPD[Total Impressions],ROW(DataCPD[Total Impressions])-MIN(ROW(DataCPD[Total Impressions])),0,1)))))
/
SUM(
IF(DataCPD[Brand Safety 
'[% Failed by Language']]&lt;&gt;"NULL",
IF(DataCPD[Brand]=ColumnCPD[[#This Row],[Metric]],
SUBTOTAL(9,OFFSET(DataCPD[Total Impressions],ROW(DataCPD[Total Impressions])-MIN(ROW(DataCPD[Total Impressions])),0,1)))))</f>
        <v>#DIV/0!</v>
      </c>
      <c r="T11" s="32" t="e">
        <f t="array" aca="1" ref="T11" ca="1">SUM(
IF(DataCPD[Fraud 
'[% Fraud']]&lt;&gt;"NULL",
IF(DataCPD[Brand]=ColumnCPD[[#This Row],[Metric]],
DataCPD[Fraud 
'[% Fraud']]*
SUBTOTAL(9,OFFSET(DataCPD[Total Impressions],ROW(DataCPD[Total Impressions])-MIN(ROW(DataCPD[Total Impressions])),0,1)))))
/
SUM(
IF(DataCPD[Fraud 
'[% Fraud']]&lt;&gt;"NULL",
IF(DataCPD[Brand]=ColumnCPD[[#This Row],[Metric]],
SUBTOTAL(9,OFFSET(DataCPD[Total Impressions],ROW(DataCPD[Total Impressions])-MIN(ROW(DataCPD[Total Impressions])),0,1)))))</f>
        <v>#DIV/0!</v>
      </c>
      <c r="U11" s="32" t="e">
        <f t="array" aca="1" ref="U11" ca="1">SUM(
IF(DataCPD[Viewability 
'[Total Viewable Rate (Total Net Metrics)']]&lt;&gt;"NULL",
IF(DataCPD[Brand]=ColumnCPD[[#This Row],[Metric]],
DataCPD[Viewability 
'[Total Viewable Rate (Total Net Metrics)']]*
SUBTOTAL(9,OFFSET(DataCPD[Total Impressions],ROW(DataCPD[Total Impressions])-MIN(ROW(DataCPD[Total Impressions])),0,1)))))
/
SUM(
IF(DataCPD[Viewability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V11" s="32" t="e">
        <f t="array" aca="1" ref="V11" ca="1">SUM(
IF(DataCPD[Display Viewability 
'[Total Viewable Rate (Total Net Metrics)']]&lt;&gt;"NULL",
IF(DataCPD[Brand]=ColumnCPD[[#This Row],[Metric]],
DataCPD[Display Viewability 
'[Total Viewable Rate (Total Net Metrics)']]*
SUBTOTAL(9,OFFSET(DataCPD[Total Impressions],ROW(DataCPD[Total Impressions])-MIN(ROW(DataCPD[Total Impressions])),0,1)))))
/
SUM(
IF(DataCPD[Display 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W11" s="32" t="e">
        <f t="array" aca="1" ref="W11" ca="1">SUM(
IF(DataCPD[Video Viewability 
'[Total Viewable Rate (Total Net Metrics)']]&lt;&gt;"NULL",
IF(DataCPD[Brand]=ColumnCPD[[#This Row],[Metric]],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X11" s="32" t="e">
        <f t="array" aca="1" ref="X11" ca="1">SUM(
IF(DataCPD[GroupM Viewability 
'[% Display Ads Fully in View']]&lt;&gt;"NULL",
IF(DataCPD[Brand]=ColumnCPD[[#This Row],[Metric]],
DataCPD[GroupM Viewability 
'[% Display Ads Fully in View']]*
SUBTOTAL(9,OFFSET(DataCPD[Total Impressions],ROW(DataCPD[Total Impressions])-MIN(ROW(DataCPD[Total Impressions])),0,1)))))
/
SUM(
IF(DataCPD[GroupM Viewability 
'[% Display Ads Fully in View']]&lt;&gt;"NULL",
IF(DataCPD[Brand]=ColumnCPD[[#This Row],[Metric]],
SUBTOTAL(9,OFFSET(DataCPD[Total Impressions],ROW(DataCPD[Total Impressions])-MIN(ROW(DataCPD[Total Impressions])),0,1)))))</f>
        <v>#DIV/0!</v>
      </c>
      <c r="Y11" s="32" t="e">
        <f t="array" aca="1" ref="Y11" ca="1">SUM(
IF(DataCPD[GroupM Viewability 
'[% Videos Fully in View']]&lt;&gt;"NULL",
IF(DataCPD[Brand]=ColumnCPD[[#This Row],[Metric]],
DataCPD[GroupM Viewability 
'[% Videos Fully in View']]*
SUBTOTAL(9,OFFSET(DataCPD[Total Impressions],ROW(DataCPD[Total Impressions])-MIN(ROW(DataCPD[Total Impressions])),0,1)))))
/
SUM(
IF(DataCPD[GroupM Viewability 
'[% Videos Fully in View']]&lt;&gt;"NULL",
IF(DataCPD[Brand]=ColumnCPD[[#This Row],[Metric]],
SUBTOTAL(9,OFFSET(DataCPD[Total Impressions],ROW(DataCPD[Total Impressions])-MIN(ROW(DataCPD[Total Impressions])),0,1)))))</f>
        <v>#DIV/0!</v>
      </c>
      <c r="Z11" s="32" t="e">
        <f t="array" aca="1" ref="Z11" ca="1">SUM(
IF(DataCPD[Publicis Viewability 
'[% Display Ads Fully in View']]&lt;&gt;"NULL",
IF(DataCPD[Brand]=ColumnCPD[[#This Row],[Metric]],
DataCPD[Publicis Viewability 
'[% Display Ads Fully in View']]*
SUBTOTAL(9,OFFSET(DataCPD[Total Impressions],ROW(DataCPD[Total Impressions])-MIN(ROW(DataCPD[Total Impressions])),0,1)))))
/
SUM(
IF(DataCPD[Publicis Viewability 
'[% Display Ads Fully in View']]&lt;&gt;"NULL",
IF(DataCPD[Brand]=ColumnCPD[[#This Row],[Metric]],
SUBTOTAL(9,OFFSET(DataCPD[Total Impressions],ROW(DataCPD[Total Impressions])-MIN(ROW(DataCPD[Total Impressions])),0,1)))))</f>
        <v>#DIV/0!</v>
      </c>
      <c r="AA11" s="32" t="e">
        <f t="array" aca="1" ref="AA11" ca="1">SUM(
IF(DataCPD[Publicis Viewability 
'[% Videos Fully in View']]&lt;&gt;"NULL",
IF(DataCPD[Brand]=ColumnCPD[[#This Row],[Metric]],
DataCPD[Publicis Viewability 
'[% Videos Fully in View']]*
SUBTOTAL(9,OFFSET(DataCPD[Total Impressions],ROW(DataCPD[Total Impressions])-MIN(ROW(DataCPD[Total Impressions])),0,1)))))
/
SUM(
IF(DataCPD[Publicis Viewability 
'[% Videos Fully in View']]&lt;&gt;"NULL",
IF(DataCPD[Brand]=ColumnCPD[[#This Row],[Metric]],
SUBTOTAL(9,OFFSET(DataCPD[Total Impressions],ROW(DataCPD[Total Impressions])-MIN(ROW(DataCPD[Total Impressions])),0,1)))))</f>
        <v>#DIV/0!</v>
      </c>
      <c r="AB11" s="26"/>
    </row>
    <row r="12" spans="1:121" s="18" customFormat="1" ht="16.5" hidden="1" customHeight="1" x14ac:dyDescent="0.35">
      <c r="A12" s="236"/>
      <c r="B12" s="237"/>
      <c r="C12" s="237"/>
      <c r="D12" s="237"/>
      <c r="E12" s="60"/>
      <c r="F12" s="60"/>
      <c r="G12" s="228" t="s">
        <v>8</v>
      </c>
      <c r="H12" s="228"/>
      <c r="I12" s="257"/>
      <c r="J12" s="106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5.75" hidden="1" customHeight="1" x14ac:dyDescent="0.35">
      <c r="B13" s="33"/>
      <c r="C13" s="33"/>
      <c r="D13" s="33"/>
      <c r="E13" s="63"/>
      <c r="F13" s="57"/>
      <c r="G13" s="228" t="s">
        <v>8</v>
      </c>
      <c r="H13" s="228"/>
      <c r="I13" s="25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1</v>
      </c>
      <c r="AA13" s="108">
        <v>0</v>
      </c>
      <c r="AB13" s="26"/>
    </row>
    <row r="14" spans="1:121" s="18" customFormat="1" ht="15.75" customHeight="1" thickBot="1" x14ac:dyDescent="0.4">
      <c r="B14" s="35"/>
      <c r="C14" s="22"/>
      <c r="D14" s="22"/>
      <c r="E14" s="55"/>
      <c r="F14" s="55"/>
      <c r="G14" s="55"/>
      <c r="H14" s="13" t="s">
        <v>21</v>
      </c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84" t="s">
        <v>9</v>
      </c>
      <c r="E15" s="85" t="s">
        <v>141</v>
      </c>
      <c r="F15" s="85" t="s">
        <v>22</v>
      </c>
      <c r="G15" s="85" t="s">
        <v>38</v>
      </c>
      <c r="H15" s="25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thickBot="1" x14ac:dyDescent="0.3">
      <c r="B16" s="43" t="str">
        <f>IFERROR(
IF(DataCPD[[#Headers],[Brand]]="Brand",VLOOKUP(DataCPD[[#This Row],[Campaign]],Map_Campaign[],2,0),
IF(DataCPD[[#Headers],[Brand]]="Region (Team)",VLOOKUP(DataCPD[[#This Row],[Team]],Map_Team[],2,0),
IF(DataCPD[[#Headers],[Brand]]="Region (Campaign)",VLOOKUP(DataCPD[[#This Row],[Campaign]],Map_Campaign[],3,0),
IF(DataCPD[[#Headers],[Brand]]="Partner Type",VLOOKUP(DataCPD[[#This Row],[Partner]],Map_Partner[],2,0),
IF(DataCPD[[#Headers],[Brand]]="Device Type",VLOOKUP(DataCPD[[#This Row],[Placement]],Map_Placement[],3,0),
IF(DataCPD[[#Headers],[Brand]]="Creative Size",VLOOKUP(DataCPD[[#This Row],[Placement]],Map_Placement[],2,0),"Not a mapping option.")))))),
"[Unmapped]")</f>
        <v>[Unmapped]</v>
      </c>
      <c r="C16" s="45" t="s">
        <v>10</v>
      </c>
      <c r="D16" s="91" t="s">
        <v>153</v>
      </c>
      <c r="E16" s="86" t="s">
        <v>142</v>
      </c>
      <c r="F16" s="86" t="s">
        <v>10</v>
      </c>
      <c r="G16" s="86" t="s">
        <v>126</v>
      </c>
      <c r="H16" s="86" t="s">
        <v>124</v>
      </c>
      <c r="I16" s="87">
        <v>292953764</v>
      </c>
      <c r="J16" s="88">
        <v>450881961</v>
      </c>
      <c r="K16" s="89">
        <v>0.7</v>
      </c>
      <c r="L16" s="89">
        <v>0.98</v>
      </c>
      <c r="M16" s="89">
        <v>0.95</v>
      </c>
      <c r="N16" s="89">
        <v>0.05</v>
      </c>
      <c r="O16" s="89">
        <v>0.02</v>
      </c>
      <c r="P16" s="89">
        <v>0.02</v>
      </c>
      <c r="Q16" s="89">
        <v>0.01</v>
      </c>
      <c r="R16" s="89">
        <v>0.01</v>
      </c>
      <c r="S16" s="89">
        <v>0.01</v>
      </c>
      <c r="T16" s="89">
        <v>0.03</v>
      </c>
      <c r="U16" s="89">
        <v>0.55000000000000004</v>
      </c>
      <c r="V16" s="89">
        <v>0.6</v>
      </c>
      <c r="W16" s="89">
        <v>0.5</v>
      </c>
      <c r="X16" s="89">
        <v>0.35</v>
      </c>
      <c r="Y16" s="89">
        <v>0.25</v>
      </c>
      <c r="Z16" s="89">
        <v>0.35</v>
      </c>
      <c r="AA16" s="8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10">
    <mergeCell ref="A12:D12"/>
    <mergeCell ref="A11:D11"/>
    <mergeCell ref="B9:F9"/>
    <mergeCell ref="D6:E6"/>
    <mergeCell ref="D8:E8"/>
    <mergeCell ref="G13:I13"/>
    <mergeCell ref="G12:I12"/>
    <mergeCell ref="G8:I8"/>
    <mergeCell ref="G7:I7"/>
    <mergeCell ref="G6:I6"/>
  </mergeCells>
  <conditionalFormatting sqref="K16:AA16">
    <cfRule type="cellIs" dxfId="5" priority="8" operator="equal">
      <formula>""</formula>
    </cfRule>
  </conditionalFormatting>
  <conditionalFormatting sqref="A6:D6 A1:XFD5 A8:D8 F6:XFD6 A7:J7 F8:XFD8 A9:XFD1048576 AB7:XFD7">
    <cfRule type="expression" dxfId="4" priority="7">
      <formula>ISERROR(A1)</formula>
    </cfRule>
  </conditionalFormatting>
  <conditionalFormatting sqref="K16:AA16 K9:AA11">
    <cfRule type="expression" dxfId="3" priority="10">
      <formula>IF(K$7="N/A",0,IF(K$7="Above",K9&lt;=(1-$J$4)*K$8,K9&gt;=(1+$J$4)*K$8))</formula>
    </cfRule>
    <cfRule type="expression" dxfId="2" priority="11">
      <formula>IF(OR(K$7="N/A",K9=0),0,IF(K$7="Above",K9&gt;=(1+$J$3)*K$8,K9&lt;=(1-$J$3)*K$8))</formula>
    </cfRule>
  </conditionalFormatting>
  <conditionalFormatting sqref="K7:AA7">
    <cfRule type="expression" dxfId="1" priority="1">
      <formula>ISERROR(K7)</formula>
    </cfRule>
  </conditionalFormatting>
  <dataValidations disablePrompts="1" count="8">
    <dataValidation allowBlank="1" showInputMessage="1" showErrorMessage="1" errorTitle="Invalid Entry" error="Please select/enter a value from 1 to 5 from the dropdown." sqref="J9 K10:AA11 AB12:XFD13 J11 G9 A13:D13" xr:uid="{00000000-0002-0000-0800-000000000000}"/>
    <dataValidation type="list" allowBlank="1" showInputMessage="1" showErrorMessage="1" errorTitle="Invalid Entry" error="Please select/enter a value from 1 to 5 from the dropdown." sqref="J10" xr:uid="{00000000-0002-0000-08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800-000002000000}">
      <formula1>"0,1,2,3,4,5"</formula1>
    </dataValidation>
    <dataValidation type="list" allowBlank="1" showInputMessage="1" showErrorMessage="1" sqref="B15" xr:uid="{00000000-0002-0000-0800-000003000000}">
      <formula1>"Brand, Region (Team), Region (Campaign), Partner Type"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800-000005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800-000006000000}"/>
    <dataValidation allowBlank="1" showInputMessage="1" showErrorMessage="1" prompt="Cell will highlight red if performance deviates by more than this percentage of the client goal." sqref="J4" xr:uid="{00000000-0002-0000-0800-000007000000}"/>
    <dataValidation type="list" allowBlank="1" showInputMessage="1" showErrorMessage="1" sqref="X27" xr:uid="{00000000-0002-0000-0800-000004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F41F8383-FF75-431C-8426-1ED11B5653E3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"/>
  <dimension ref="B1:C21"/>
  <sheetViews>
    <sheetView zoomScale="80" zoomScaleNormal="80" zoomScalePageLayoutView="80" workbookViewId="0"/>
  </sheetViews>
  <sheetFormatPr defaultColWidth="9.1796875" defaultRowHeight="27" customHeight="1" x14ac:dyDescent="0.3"/>
  <cols>
    <col min="1" max="1" width="4.7265625" style="6" customWidth="1"/>
    <col min="2" max="2" width="40.7265625" style="6" customWidth="1"/>
    <col min="3" max="6" width="35.7265625" style="6" customWidth="1"/>
    <col min="7" max="16384" width="9.1796875" style="6"/>
  </cols>
  <sheetData>
    <row r="1" spans="2:3" ht="14.5" thickBot="1" x14ac:dyDescent="0.35"/>
    <row r="2" spans="2:3" ht="81" customHeight="1" thickBot="1" x14ac:dyDescent="0.35">
      <c r="B2" s="260" t="s">
        <v>15</v>
      </c>
      <c r="C2" s="261"/>
    </row>
    <row r="3" spans="2:3" ht="14" x14ac:dyDescent="0.3"/>
    <row r="4" spans="2:3" ht="45" customHeight="1" x14ac:dyDescent="0.3">
      <c r="B4" s="9" t="s">
        <v>1</v>
      </c>
      <c r="C4" s="9" t="s">
        <v>16</v>
      </c>
    </row>
    <row r="5" spans="2:3" ht="27" customHeight="1" x14ac:dyDescent="0.3">
      <c r="B5" s="7" t="s">
        <v>4</v>
      </c>
      <c r="C5" s="8">
        <v>0.7</v>
      </c>
    </row>
    <row r="6" spans="2:3" ht="27" customHeight="1" x14ac:dyDescent="0.3">
      <c r="B6" s="7" t="s">
        <v>162</v>
      </c>
      <c r="C6" s="8">
        <v>0.98</v>
      </c>
    </row>
    <row r="7" spans="2:3" ht="27" customHeight="1" x14ac:dyDescent="0.3">
      <c r="B7" s="7" t="s">
        <v>23</v>
      </c>
      <c r="C7" s="8">
        <v>0.95</v>
      </c>
    </row>
    <row r="8" spans="2:3" ht="27" customHeight="1" x14ac:dyDescent="0.3">
      <c r="B8" s="7" t="s">
        <v>5</v>
      </c>
      <c r="C8" s="8">
        <v>0.05</v>
      </c>
    </row>
    <row r="9" spans="2:3" ht="27" customHeight="1" x14ac:dyDescent="0.3">
      <c r="B9" s="7" t="s">
        <v>24</v>
      </c>
      <c r="C9" s="8">
        <v>0.02</v>
      </c>
    </row>
    <row r="10" spans="2:3" ht="27" customHeight="1" x14ac:dyDescent="0.3">
      <c r="B10" s="7" t="s">
        <v>25</v>
      </c>
      <c r="C10" s="8">
        <v>0.02</v>
      </c>
    </row>
    <row r="11" spans="2:3" ht="27" customHeight="1" x14ac:dyDescent="0.3">
      <c r="B11" s="7" t="s">
        <v>26</v>
      </c>
      <c r="C11" s="8">
        <v>0.01</v>
      </c>
    </row>
    <row r="12" spans="2:3" ht="27" customHeight="1" x14ac:dyDescent="0.3">
      <c r="B12" s="7" t="s">
        <v>27</v>
      </c>
      <c r="C12" s="8">
        <v>0.01</v>
      </c>
    </row>
    <row r="13" spans="2:3" ht="27" customHeight="1" x14ac:dyDescent="0.3">
      <c r="B13" s="7" t="s">
        <v>156</v>
      </c>
      <c r="C13" s="8">
        <v>0.01</v>
      </c>
    </row>
    <row r="14" spans="2:3" ht="27" customHeight="1" x14ac:dyDescent="0.3">
      <c r="B14" s="7" t="s">
        <v>28</v>
      </c>
      <c r="C14" s="8">
        <v>0.03</v>
      </c>
    </row>
    <row r="15" spans="2:3" ht="27" customHeight="1" x14ac:dyDescent="0.3">
      <c r="B15" s="7" t="s">
        <v>157</v>
      </c>
      <c r="C15" s="8">
        <v>0.55000000000000004</v>
      </c>
    </row>
    <row r="16" spans="2:3" ht="27" customHeight="1" x14ac:dyDescent="0.3">
      <c r="B16" s="7" t="s">
        <v>158</v>
      </c>
      <c r="C16" s="8">
        <v>0.6</v>
      </c>
    </row>
    <row r="17" spans="2:3" ht="27" customHeight="1" x14ac:dyDescent="0.3">
      <c r="B17" s="7" t="s">
        <v>159</v>
      </c>
      <c r="C17" s="8">
        <v>0.5</v>
      </c>
    </row>
    <row r="18" spans="2:3" ht="27" customHeight="1" x14ac:dyDescent="0.3">
      <c r="B18" s="7" t="s">
        <v>160</v>
      </c>
      <c r="C18" s="8">
        <v>0.35</v>
      </c>
    </row>
    <row r="19" spans="2:3" ht="27" customHeight="1" x14ac:dyDescent="0.3">
      <c r="B19" s="7" t="s">
        <v>161</v>
      </c>
      <c r="C19" s="8">
        <v>0.25</v>
      </c>
    </row>
    <row r="20" spans="2:3" ht="27" customHeight="1" x14ac:dyDescent="0.3">
      <c r="B20" s="7" t="s">
        <v>163</v>
      </c>
      <c r="C20" s="8">
        <v>0.35</v>
      </c>
    </row>
    <row r="21" spans="2:3" ht="27" customHeight="1" x14ac:dyDescent="0.3">
      <c r="B21" s="7" t="s">
        <v>164</v>
      </c>
      <c r="C21" s="8">
        <v>0.25</v>
      </c>
    </row>
  </sheetData>
  <mergeCells count="1">
    <mergeCell ref="B2:C2"/>
  </mergeCells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V81"/>
  <sheetViews>
    <sheetView showGridLines="0" zoomScale="78" zoomScaleNormal="78" workbookViewId="0"/>
  </sheetViews>
  <sheetFormatPr defaultColWidth="0" defaultRowHeight="14.5" x14ac:dyDescent="0.35"/>
  <cols>
    <col min="1" max="1" width="2.1796875" style="1" customWidth="1"/>
    <col min="2" max="2" width="34.81640625" style="1" customWidth="1"/>
    <col min="3" max="3" width="11.54296875" style="1" customWidth="1"/>
    <col min="4" max="4" width="3" style="1" customWidth="1"/>
    <col min="5" max="5" width="34.81640625" style="1" customWidth="1"/>
    <col min="6" max="7" width="11.54296875" style="1" customWidth="1"/>
    <col min="8" max="8" width="3" style="1" customWidth="1"/>
    <col min="9" max="9" width="37.1796875" style="1" customWidth="1"/>
    <col min="10" max="10" width="28" style="1" customWidth="1"/>
    <col min="11" max="11" width="3" style="1" customWidth="1"/>
    <col min="12" max="12" width="52.1796875" style="1" customWidth="1"/>
    <col min="13" max="13" width="14.453125" style="1" customWidth="1"/>
    <col min="14" max="14" width="24.26953125" style="1" customWidth="1"/>
    <col min="15" max="15" width="2.1796875" style="1" customWidth="1"/>
    <col min="16" max="16" width="22.453125" style="1" hidden="1" customWidth="1"/>
    <col min="17" max="17" width="11" style="1" hidden="1" customWidth="1"/>
    <col min="18" max="18" width="19.453125" style="1" hidden="1" customWidth="1"/>
    <col min="19" max="19" width="10.453125" style="1" hidden="1" customWidth="1"/>
    <col min="20" max="20" width="11" style="1" hidden="1" customWidth="1"/>
    <col min="21" max="21" width="19.453125" style="1" hidden="1" customWidth="1"/>
    <col min="22" max="22" width="10.453125" style="1" hidden="1" customWidth="1"/>
    <col min="23" max="16384" width="9.1796875" style="1" hidden="1"/>
  </cols>
  <sheetData>
    <row r="2" spans="2:16" s="3" customFormat="1" x14ac:dyDescent="0.35">
      <c r="B2" s="3" t="s">
        <v>148</v>
      </c>
      <c r="E2" s="3" t="s">
        <v>147</v>
      </c>
      <c r="I2" s="3" t="s">
        <v>125</v>
      </c>
      <c r="L2" s="3" t="s">
        <v>49</v>
      </c>
      <c r="P2" s="3" t="s">
        <v>131</v>
      </c>
    </row>
    <row r="4" spans="2:16" s="4" customFormat="1" x14ac:dyDescent="0.35">
      <c r="B4" s="2" t="s">
        <v>20</v>
      </c>
      <c r="C4" s="2" t="s">
        <v>29</v>
      </c>
      <c r="E4" s="2" t="s">
        <v>9</v>
      </c>
      <c r="F4" s="2" t="s">
        <v>31</v>
      </c>
      <c r="G4" s="2" t="s">
        <v>29</v>
      </c>
      <c r="I4" s="2" t="s">
        <v>141</v>
      </c>
      <c r="J4" s="2" t="s">
        <v>146</v>
      </c>
      <c r="K4" s="2"/>
      <c r="L4" s="2" t="s">
        <v>22</v>
      </c>
      <c r="M4" s="2" t="s">
        <v>37</v>
      </c>
      <c r="N4" s="2" t="s">
        <v>38</v>
      </c>
      <c r="P4" s="5" t="s">
        <v>126</v>
      </c>
    </row>
    <row r="5" spans="2:16" x14ac:dyDescent="0.35">
      <c r="B5" s="1" t="s">
        <v>35</v>
      </c>
      <c r="C5" s="1" t="s">
        <v>30</v>
      </c>
      <c r="E5" s="1" t="s">
        <v>48</v>
      </c>
      <c r="F5" s="1" t="s">
        <v>32</v>
      </c>
      <c r="G5" s="1" t="s">
        <v>30</v>
      </c>
      <c r="I5" s="1" t="s">
        <v>142</v>
      </c>
      <c r="J5" s="1" t="s">
        <v>149</v>
      </c>
      <c r="L5" s="1" t="s">
        <v>50</v>
      </c>
      <c r="M5" s="1" t="s">
        <v>36</v>
      </c>
      <c r="N5" s="1" t="s">
        <v>45</v>
      </c>
      <c r="P5" s="1" t="s">
        <v>134</v>
      </c>
    </row>
    <row r="6" spans="2:16" x14ac:dyDescent="0.35">
      <c r="B6" s="1" t="s">
        <v>40</v>
      </c>
      <c r="C6" s="1" t="s">
        <v>42</v>
      </c>
      <c r="E6" s="1" t="s">
        <v>17</v>
      </c>
      <c r="F6" s="1" t="s">
        <v>33</v>
      </c>
      <c r="G6" s="1" t="s">
        <v>42</v>
      </c>
      <c r="I6" s="1" t="s">
        <v>143</v>
      </c>
      <c r="J6" s="1" t="s">
        <v>150</v>
      </c>
      <c r="L6" s="1" t="s">
        <v>51</v>
      </c>
      <c r="M6" s="1" t="s">
        <v>39</v>
      </c>
      <c r="N6" s="1" t="s">
        <v>46</v>
      </c>
      <c r="P6" s="1" t="s">
        <v>127</v>
      </c>
    </row>
    <row r="7" spans="2:16" x14ac:dyDescent="0.35">
      <c r="B7" s="1" t="s">
        <v>41</v>
      </c>
      <c r="C7" s="1" t="s">
        <v>43</v>
      </c>
      <c r="E7" s="1" t="s">
        <v>18</v>
      </c>
      <c r="F7" s="1" t="s">
        <v>34</v>
      </c>
      <c r="G7" s="1" t="s">
        <v>43</v>
      </c>
      <c r="I7" s="1" t="s">
        <v>144</v>
      </c>
      <c r="J7" s="1" t="s">
        <v>150</v>
      </c>
      <c r="L7" s="1" t="s">
        <v>52</v>
      </c>
      <c r="M7" s="1" t="s">
        <v>44</v>
      </c>
      <c r="N7" s="1" t="s">
        <v>47</v>
      </c>
      <c r="P7" s="1" t="s">
        <v>135</v>
      </c>
    </row>
    <row r="8" spans="2:16" x14ac:dyDescent="0.35">
      <c r="L8" s="1" t="s">
        <v>50</v>
      </c>
      <c r="M8" s="1" t="s">
        <v>36</v>
      </c>
      <c r="N8" s="1" t="s">
        <v>45</v>
      </c>
      <c r="P8" s="1" t="s">
        <v>136</v>
      </c>
    </row>
    <row r="9" spans="2:16" x14ac:dyDescent="0.35">
      <c r="L9" s="1" t="s">
        <v>51</v>
      </c>
      <c r="M9" s="1" t="s">
        <v>39</v>
      </c>
      <c r="N9" s="1" t="s">
        <v>46</v>
      </c>
      <c r="P9" s="1" t="s">
        <v>137</v>
      </c>
    </row>
    <row r="10" spans="2:16" x14ac:dyDescent="0.35">
      <c r="L10" s="1" t="s">
        <v>52</v>
      </c>
      <c r="M10" s="1" t="s">
        <v>44</v>
      </c>
      <c r="N10" s="1" t="s">
        <v>47</v>
      </c>
      <c r="P10" s="1" t="s">
        <v>128</v>
      </c>
    </row>
    <row r="11" spans="2:16" x14ac:dyDescent="0.35">
      <c r="L11" s="1" t="s">
        <v>53</v>
      </c>
      <c r="M11" s="1" t="s">
        <v>36</v>
      </c>
      <c r="N11" s="1" t="s">
        <v>45</v>
      </c>
      <c r="P11" s="1" t="s">
        <v>138</v>
      </c>
    </row>
    <row r="12" spans="2:16" x14ac:dyDescent="0.35">
      <c r="L12" s="1" t="s">
        <v>54</v>
      </c>
      <c r="M12" s="1" t="s">
        <v>39</v>
      </c>
      <c r="N12" s="1" t="s">
        <v>46</v>
      </c>
      <c r="P12" s="1" t="s">
        <v>129</v>
      </c>
    </row>
    <row r="13" spans="2:16" x14ac:dyDescent="0.35">
      <c r="L13" s="1" t="s">
        <v>55</v>
      </c>
      <c r="M13" s="1" t="s">
        <v>44</v>
      </c>
      <c r="N13" s="1" t="s">
        <v>47</v>
      </c>
      <c r="P13" s="1" t="s">
        <v>139</v>
      </c>
    </row>
    <row r="14" spans="2:16" x14ac:dyDescent="0.35">
      <c r="L14" s="1" t="s">
        <v>56</v>
      </c>
      <c r="M14" s="1" t="s">
        <v>36</v>
      </c>
      <c r="N14" s="1" t="s">
        <v>45</v>
      </c>
    </row>
    <row r="15" spans="2:16" x14ac:dyDescent="0.35">
      <c r="L15" s="1" t="s">
        <v>57</v>
      </c>
      <c r="M15" s="1" t="s">
        <v>39</v>
      </c>
      <c r="N15" s="1" t="s">
        <v>46</v>
      </c>
    </row>
    <row r="16" spans="2:16" x14ac:dyDescent="0.35">
      <c r="L16" s="1" t="s">
        <v>58</v>
      </c>
      <c r="M16" s="1" t="s">
        <v>44</v>
      </c>
      <c r="N16" s="1" t="s">
        <v>47</v>
      </c>
    </row>
    <row r="17" spans="12:14" x14ac:dyDescent="0.35">
      <c r="L17" s="1" t="s">
        <v>59</v>
      </c>
      <c r="M17" s="1" t="s">
        <v>36</v>
      </c>
      <c r="N17" s="1" t="s">
        <v>45</v>
      </c>
    </row>
    <row r="18" spans="12:14" x14ac:dyDescent="0.35">
      <c r="L18" s="1" t="s">
        <v>60</v>
      </c>
      <c r="M18" s="1" t="s">
        <v>39</v>
      </c>
      <c r="N18" s="1" t="s">
        <v>46</v>
      </c>
    </row>
    <row r="19" spans="12:14" x14ac:dyDescent="0.35">
      <c r="L19" s="1" t="s">
        <v>61</v>
      </c>
      <c r="M19" s="1" t="s">
        <v>44</v>
      </c>
      <c r="N19" s="1" t="s">
        <v>47</v>
      </c>
    </row>
    <row r="20" spans="12:14" x14ac:dyDescent="0.35">
      <c r="L20" s="1" t="s">
        <v>62</v>
      </c>
      <c r="M20" s="1" t="s">
        <v>36</v>
      </c>
      <c r="N20" s="1" t="s">
        <v>45</v>
      </c>
    </row>
    <row r="21" spans="12:14" x14ac:dyDescent="0.35">
      <c r="L21" s="1" t="s">
        <v>63</v>
      </c>
      <c r="M21" s="1" t="s">
        <v>39</v>
      </c>
      <c r="N21" s="1" t="s">
        <v>46</v>
      </c>
    </row>
    <row r="22" spans="12:14" x14ac:dyDescent="0.35">
      <c r="L22" s="1" t="s">
        <v>64</v>
      </c>
      <c r="M22" s="1" t="s">
        <v>44</v>
      </c>
      <c r="N22" s="1" t="s">
        <v>47</v>
      </c>
    </row>
    <row r="23" spans="12:14" x14ac:dyDescent="0.35">
      <c r="L23" s="1" t="s">
        <v>65</v>
      </c>
      <c r="M23" s="1" t="s">
        <v>36</v>
      </c>
      <c r="N23" s="1" t="s">
        <v>45</v>
      </c>
    </row>
    <row r="24" spans="12:14" x14ac:dyDescent="0.35">
      <c r="L24" s="1" t="s">
        <v>66</v>
      </c>
      <c r="M24" s="1" t="s">
        <v>39</v>
      </c>
      <c r="N24" s="1" t="s">
        <v>46</v>
      </c>
    </row>
    <row r="25" spans="12:14" x14ac:dyDescent="0.35">
      <c r="L25" s="1" t="s">
        <v>67</v>
      </c>
      <c r="M25" s="1" t="s">
        <v>44</v>
      </c>
      <c r="N25" s="1" t="s">
        <v>47</v>
      </c>
    </row>
    <row r="26" spans="12:14" x14ac:dyDescent="0.35">
      <c r="L26" s="1" t="s">
        <v>68</v>
      </c>
      <c r="M26" s="1" t="s">
        <v>36</v>
      </c>
      <c r="N26" s="1" t="s">
        <v>45</v>
      </c>
    </row>
    <row r="27" spans="12:14" x14ac:dyDescent="0.35">
      <c r="L27" s="1" t="s">
        <v>69</v>
      </c>
      <c r="M27" s="1" t="s">
        <v>39</v>
      </c>
      <c r="N27" s="1" t="s">
        <v>46</v>
      </c>
    </row>
    <row r="28" spans="12:14" x14ac:dyDescent="0.35">
      <c r="L28" s="1" t="s">
        <v>70</v>
      </c>
      <c r="M28" s="1" t="s">
        <v>44</v>
      </c>
      <c r="N28" s="1" t="s">
        <v>47</v>
      </c>
    </row>
    <row r="29" spans="12:14" x14ac:dyDescent="0.35">
      <c r="L29" s="1" t="s">
        <v>71</v>
      </c>
      <c r="M29" s="1" t="s">
        <v>36</v>
      </c>
      <c r="N29" s="1" t="s">
        <v>45</v>
      </c>
    </row>
    <row r="30" spans="12:14" x14ac:dyDescent="0.35">
      <c r="L30" s="1" t="s">
        <v>72</v>
      </c>
      <c r="M30" s="1" t="s">
        <v>39</v>
      </c>
      <c r="N30" s="1" t="s">
        <v>46</v>
      </c>
    </row>
    <row r="31" spans="12:14" x14ac:dyDescent="0.35">
      <c r="L31" s="1" t="s">
        <v>73</v>
      </c>
      <c r="M31" s="1" t="s">
        <v>44</v>
      </c>
      <c r="N31" s="1" t="s">
        <v>47</v>
      </c>
    </row>
    <row r="32" spans="12:14" x14ac:dyDescent="0.35">
      <c r="L32" s="1" t="s">
        <v>74</v>
      </c>
      <c r="M32" s="1" t="s">
        <v>36</v>
      </c>
      <c r="N32" s="1" t="s">
        <v>45</v>
      </c>
    </row>
    <row r="33" spans="12:14" x14ac:dyDescent="0.35">
      <c r="L33" s="1" t="s">
        <v>75</v>
      </c>
      <c r="M33" s="1" t="s">
        <v>39</v>
      </c>
      <c r="N33" s="1" t="s">
        <v>46</v>
      </c>
    </row>
    <row r="34" spans="12:14" x14ac:dyDescent="0.35">
      <c r="L34" s="1" t="s">
        <v>76</v>
      </c>
      <c r="M34" s="1" t="s">
        <v>44</v>
      </c>
      <c r="N34" s="1" t="s">
        <v>47</v>
      </c>
    </row>
    <row r="35" spans="12:14" x14ac:dyDescent="0.35">
      <c r="L35" s="1" t="s">
        <v>77</v>
      </c>
      <c r="M35" s="1" t="s">
        <v>36</v>
      </c>
      <c r="N35" s="1" t="s">
        <v>45</v>
      </c>
    </row>
    <row r="36" spans="12:14" x14ac:dyDescent="0.35">
      <c r="L36" s="1" t="s">
        <v>78</v>
      </c>
      <c r="M36" s="1" t="s">
        <v>39</v>
      </c>
      <c r="N36" s="1" t="s">
        <v>46</v>
      </c>
    </row>
    <row r="37" spans="12:14" x14ac:dyDescent="0.35">
      <c r="L37" s="1" t="s">
        <v>79</v>
      </c>
      <c r="M37" s="1" t="s">
        <v>44</v>
      </c>
      <c r="N37" s="1" t="s">
        <v>47</v>
      </c>
    </row>
    <row r="38" spans="12:14" x14ac:dyDescent="0.35">
      <c r="L38" s="1" t="s">
        <v>80</v>
      </c>
      <c r="M38" s="1" t="s">
        <v>36</v>
      </c>
      <c r="N38" s="1" t="s">
        <v>45</v>
      </c>
    </row>
    <row r="39" spans="12:14" x14ac:dyDescent="0.35">
      <c r="L39" s="1" t="s">
        <v>81</v>
      </c>
      <c r="M39" s="1" t="s">
        <v>39</v>
      </c>
      <c r="N39" s="1" t="s">
        <v>46</v>
      </c>
    </row>
    <row r="40" spans="12:14" x14ac:dyDescent="0.35">
      <c r="L40" s="1" t="s">
        <v>82</v>
      </c>
      <c r="M40" s="1" t="s">
        <v>44</v>
      </c>
      <c r="N40" s="1" t="s">
        <v>47</v>
      </c>
    </row>
    <row r="41" spans="12:14" x14ac:dyDescent="0.35">
      <c r="L41" s="1" t="s">
        <v>83</v>
      </c>
      <c r="M41" s="1" t="s">
        <v>36</v>
      </c>
      <c r="N41" s="1" t="s">
        <v>45</v>
      </c>
    </row>
    <row r="42" spans="12:14" x14ac:dyDescent="0.35">
      <c r="L42" s="1" t="s">
        <v>84</v>
      </c>
      <c r="M42" s="1" t="s">
        <v>39</v>
      </c>
      <c r="N42" s="1" t="s">
        <v>46</v>
      </c>
    </row>
    <row r="43" spans="12:14" x14ac:dyDescent="0.35">
      <c r="L43" s="1" t="s">
        <v>85</v>
      </c>
      <c r="M43" s="1" t="s">
        <v>44</v>
      </c>
      <c r="N43" s="1" t="s">
        <v>47</v>
      </c>
    </row>
    <row r="44" spans="12:14" x14ac:dyDescent="0.35">
      <c r="L44" s="1" t="s">
        <v>86</v>
      </c>
      <c r="M44" s="1" t="s">
        <v>36</v>
      </c>
      <c r="N44" s="1" t="s">
        <v>45</v>
      </c>
    </row>
    <row r="45" spans="12:14" x14ac:dyDescent="0.35">
      <c r="L45" s="1" t="s">
        <v>87</v>
      </c>
      <c r="M45" s="1" t="s">
        <v>39</v>
      </c>
      <c r="N45" s="1" t="s">
        <v>46</v>
      </c>
    </row>
    <row r="46" spans="12:14" x14ac:dyDescent="0.35">
      <c r="L46" s="1" t="s">
        <v>88</v>
      </c>
      <c r="M46" s="1" t="s">
        <v>44</v>
      </c>
      <c r="N46" s="1" t="s">
        <v>47</v>
      </c>
    </row>
    <row r="47" spans="12:14" x14ac:dyDescent="0.35">
      <c r="L47" s="1" t="s">
        <v>89</v>
      </c>
      <c r="M47" s="1" t="s">
        <v>36</v>
      </c>
      <c r="N47" s="1" t="s">
        <v>45</v>
      </c>
    </row>
    <row r="48" spans="12:14" x14ac:dyDescent="0.35">
      <c r="L48" s="1" t="s">
        <v>90</v>
      </c>
      <c r="M48" s="1" t="s">
        <v>39</v>
      </c>
      <c r="N48" s="1" t="s">
        <v>46</v>
      </c>
    </row>
    <row r="49" spans="12:14" x14ac:dyDescent="0.35">
      <c r="L49" s="1" t="s">
        <v>123</v>
      </c>
      <c r="M49" s="1" t="s">
        <v>44</v>
      </c>
      <c r="N49" s="1" t="s">
        <v>47</v>
      </c>
    </row>
    <row r="50" spans="12:14" x14ac:dyDescent="0.35">
      <c r="L50" s="1" t="s">
        <v>91</v>
      </c>
      <c r="M50" s="1" t="s">
        <v>36</v>
      </c>
      <c r="N50" s="1" t="s">
        <v>45</v>
      </c>
    </row>
    <row r="51" spans="12:14" x14ac:dyDescent="0.35">
      <c r="L51" s="1" t="s">
        <v>92</v>
      </c>
      <c r="M51" s="1" t="s">
        <v>39</v>
      </c>
      <c r="N51" s="1" t="s">
        <v>46</v>
      </c>
    </row>
    <row r="52" spans="12:14" x14ac:dyDescent="0.35">
      <c r="L52" s="1" t="s">
        <v>93</v>
      </c>
      <c r="M52" s="1" t="s">
        <v>44</v>
      </c>
      <c r="N52" s="1" t="s">
        <v>47</v>
      </c>
    </row>
    <row r="53" spans="12:14" x14ac:dyDescent="0.35">
      <c r="L53" s="1" t="s">
        <v>94</v>
      </c>
      <c r="M53" s="1" t="s">
        <v>36</v>
      </c>
      <c r="N53" s="1" t="s">
        <v>45</v>
      </c>
    </row>
    <row r="54" spans="12:14" x14ac:dyDescent="0.35">
      <c r="L54" s="1" t="s">
        <v>95</v>
      </c>
      <c r="M54" s="1" t="s">
        <v>39</v>
      </c>
      <c r="N54" s="1" t="s">
        <v>46</v>
      </c>
    </row>
    <row r="55" spans="12:14" x14ac:dyDescent="0.35">
      <c r="L55" s="1" t="s">
        <v>96</v>
      </c>
      <c r="M55" s="1" t="s">
        <v>44</v>
      </c>
      <c r="N55" s="1" t="s">
        <v>47</v>
      </c>
    </row>
    <row r="56" spans="12:14" x14ac:dyDescent="0.35">
      <c r="L56" s="1" t="s">
        <v>97</v>
      </c>
      <c r="M56" s="1" t="s">
        <v>36</v>
      </c>
      <c r="N56" s="1" t="s">
        <v>45</v>
      </c>
    </row>
    <row r="57" spans="12:14" x14ac:dyDescent="0.35">
      <c r="L57" s="1" t="s">
        <v>98</v>
      </c>
      <c r="M57" s="1" t="s">
        <v>39</v>
      </c>
      <c r="N57" s="1" t="s">
        <v>46</v>
      </c>
    </row>
    <row r="58" spans="12:14" x14ac:dyDescent="0.35">
      <c r="L58" s="1" t="s">
        <v>99</v>
      </c>
      <c r="M58" s="1" t="s">
        <v>44</v>
      </c>
      <c r="N58" s="1" t="s">
        <v>47</v>
      </c>
    </row>
    <row r="59" spans="12:14" x14ac:dyDescent="0.35">
      <c r="L59" s="1" t="s">
        <v>100</v>
      </c>
      <c r="M59" s="1" t="s">
        <v>36</v>
      </c>
      <c r="N59" s="1" t="s">
        <v>45</v>
      </c>
    </row>
    <row r="60" spans="12:14" x14ac:dyDescent="0.35">
      <c r="L60" s="1" t="s">
        <v>101</v>
      </c>
      <c r="M60" s="1" t="s">
        <v>39</v>
      </c>
      <c r="N60" s="1" t="s">
        <v>46</v>
      </c>
    </row>
    <row r="61" spans="12:14" x14ac:dyDescent="0.35">
      <c r="L61" s="1" t="s">
        <v>102</v>
      </c>
      <c r="M61" s="1" t="s">
        <v>44</v>
      </c>
      <c r="N61" s="1" t="s">
        <v>47</v>
      </c>
    </row>
    <row r="62" spans="12:14" x14ac:dyDescent="0.35">
      <c r="L62" s="1" t="s">
        <v>103</v>
      </c>
      <c r="M62" s="1" t="s">
        <v>36</v>
      </c>
      <c r="N62" s="1" t="s">
        <v>45</v>
      </c>
    </row>
    <row r="63" spans="12:14" x14ac:dyDescent="0.35">
      <c r="L63" s="1" t="s">
        <v>104</v>
      </c>
      <c r="M63" s="1" t="s">
        <v>39</v>
      </c>
      <c r="N63" s="1" t="s">
        <v>46</v>
      </c>
    </row>
    <row r="64" spans="12:14" x14ac:dyDescent="0.35">
      <c r="L64" s="1" t="s">
        <v>105</v>
      </c>
      <c r="M64" s="1" t="s">
        <v>44</v>
      </c>
      <c r="N64" s="1" t="s">
        <v>47</v>
      </c>
    </row>
    <row r="65" spans="12:14" x14ac:dyDescent="0.35">
      <c r="L65" s="1" t="s">
        <v>106</v>
      </c>
      <c r="M65" s="1" t="s">
        <v>36</v>
      </c>
      <c r="N65" s="1" t="s">
        <v>45</v>
      </c>
    </row>
    <row r="66" spans="12:14" x14ac:dyDescent="0.35">
      <c r="L66" s="1" t="s">
        <v>107</v>
      </c>
      <c r="M66" s="1" t="s">
        <v>39</v>
      </c>
      <c r="N66" s="1" t="s">
        <v>46</v>
      </c>
    </row>
    <row r="67" spans="12:14" x14ac:dyDescent="0.35">
      <c r="L67" s="1" t="s">
        <v>108</v>
      </c>
      <c r="M67" s="1" t="s">
        <v>44</v>
      </c>
      <c r="N67" s="1" t="s">
        <v>47</v>
      </c>
    </row>
    <row r="68" spans="12:14" x14ac:dyDescent="0.35">
      <c r="L68" s="1" t="s">
        <v>109</v>
      </c>
      <c r="M68" s="1" t="s">
        <v>36</v>
      </c>
      <c r="N68" s="1" t="s">
        <v>45</v>
      </c>
    </row>
    <row r="69" spans="12:14" x14ac:dyDescent="0.35">
      <c r="L69" s="1" t="s">
        <v>110</v>
      </c>
      <c r="M69" s="1" t="s">
        <v>39</v>
      </c>
      <c r="N69" s="1" t="s">
        <v>46</v>
      </c>
    </row>
    <row r="70" spans="12:14" x14ac:dyDescent="0.35">
      <c r="L70" s="1" t="s">
        <v>111</v>
      </c>
      <c r="M70" s="1" t="s">
        <v>44</v>
      </c>
      <c r="N70" s="1" t="s">
        <v>47</v>
      </c>
    </row>
    <row r="71" spans="12:14" x14ac:dyDescent="0.35">
      <c r="L71" s="1" t="s">
        <v>112</v>
      </c>
      <c r="M71" s="1" t="s">
        <v>36</v>
      </c>
      <c r="N71" s="1" t="s">
        <v>45</v>
      </c>
    </row>
    <row r="72" spans="12:14" x14ac:dyDescent="0.35">
      <c r="L72" s="1" t="s">
        <v>113</v>
      </c>
      <c r="M72" s="1" t="s">
        <v>39</v>
      </c>
      <c r="N72" s="1" t="s">
        <v>46</v>
      </c>
    </row>
    <row r="73" spans="12:14" x14ac:dyDescent="0.35">
      <c r="L73" s="1" t="s">
        <v>114</v>
      </c>
      <c r="M73" s="1" t="s">
        <v>44</v>
      </c>
      <c r="N73" s="1" t="s">
        <v>47</v>
      </c>
    </row>
    <row r="74" spans="12:14" x14ac:dyDescent="0.35">
      <c r="L74" s="1" t="s">
        <v>115</v>
      </c>
      <c r="M74" s="1" t="s">
        <v>36</v>
      </c>
      <c r="N74" s="1" t="s">
        <v>45</v>
      </c>
    </row>
    <row r="75" spans="12:14" x14ac:dyDescent="0.35">
      <c r="L75" s="1" t="s">
        <v>116</v>
      </c>
      <c r="M75" s="1" t="s">
        <v>39</v>
      </c>
      <c r="N75" s="1" t="s">
        <v>46</v>
      </c>
    </row>
    <row r="76" spans="12:14" x14ac:dyDescent="0.35">
      <c r="L76" s="1" t="s">
        <v>117</v>
      </c>
      <c r="M76" s="1" t="s">
        <v>44</v>
      </c>
      <c r="N76" s="1" t="s">
        <v>47</v>
      </c>
    </row>
    <row r="77" spans="12:14" x14ac:dyDescent="0.35">
      <c r="L77" s="1" t="s">
        <v>118</v>
      </c>
      <c r="M77" s="1" t="s">
        <v>36</v>
      </c>
      <c r="N77" s="1" t="s">
        <v>45</v>
      </c>
    </row>
    <row r="78" spans="12:14" x14ac:dyDescent="0.35">
      <c r="L78" s="1" t="s">
        <v>119</v>
      </c>
      <c r="M78" s="1" t="s">
        <v>39</v>
      </c>
      <c r="N78" s="1" t="s">
        <v>46</v>
      </c>
    </row>
    <row r="79" spans="12:14" x14ac:dyDescent="0.35">
      <c r="L79" s="1" t="s">
        <v>120</v>
      </c>
      <c r="M79" s="1" t="s">
        <v>44</v>
      </c>
      <c r="N79" s="1" t="s">
        <v>47</v>
      </c>
    </row>
    <row r="80" spans="12:14" x14ac:dyDescent="0.35">
      <c r="L80" s="1" t="s">
        <v>121</v>
      </c>
      <c r="M80" s="1" t="s">
        <v>36</v>
      </c>
      <c r="N80" s="1" t="s">
        <v>45</v>
      </c>
    </row>
    <row r="81" spans="12:14" x14ac:dyDescent="0.35">
      <c r="L81" s="1" t="s">
        <v>122</v>
      </c>
      <c r="M81" s="1" t="s">
        <v>39</v>
      </c>
      <c r="N81" s="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BC5B6-C202-46E7-80D7-DAB2FE3341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Team</vt:lpstr>
      <vt:lpstr>Campaign</vt:lpstr>
      <vt:lpstr>Partner</vt:lpstr>
      <vt:lpstr>Campaign &amp; Partner</vt:lpstr>
      <vt:lpstr>Partner &amp; Placement</vt:lpstr>
      <vt:lpstr>Device</vt:lpstr>
      <vt:lpstr>Campaign &amp; Device</vt:lpstr>
      <vt:lpstr>Partner &amp; Device</vt:lpstr>
      <vt:lpstr>Campaign, Partner, Device</vt:lpstr>
      <vt:lpstr>Benchmarks</vt:lpstr>
      <vt:lpstr>Mapping</vt:lpstr>
      <vt:lpstr>Benchmark_Headers</vt:lpstr>
      <vt:lpstr>DeviceDropdown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Bailey</dc:creator>
  <cp:lastModifiedBy>Vishal Kumar</cp:lastModifiedBy>
  <cp:lastPrinted>2015-10-02T21:14:56Z</cp:lastPrinted>
  <dcterms:created xsi:type="dcterms:W3CDTF">2015-01-07T19:42:54Z</dcterms:created>
  <dcterms:modified xsi:type="dcterms:W3CDTF">2017-12-23T05:32:55Z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7bcb33c3-8a9e-4a01-9764-fffc2d24f5d0</vt:lpwstr>
  </property>
</Properties>
</file>