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4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5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drawings/drawing6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drawings/drawing7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drawings/drawing8.xml" ContentType="application/vnd.openxmlformats-officedocument.drawing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drawings/drawing9.xml" ContentType="application/vnd.openxmlformats-officedocument.drawing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drawings/drawing10.xml" ContentType="application/vnd.openxmlformats-officedocument.drawing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Vishal Kumar\automation_scorecard\raw_data\agency_lavidge_raw\"/>
    </mc:Choice>
  </mc:AlternateContent>
  <bookViews>
    <workbookView xWindow="0" yWindow="0" windowWidth="28800" windowHeight="13020" tabRatio="908" activeTab="2" xr2:uid="{00000000-000D-0000-FFFF-FFFF00000000}"/>
  </bookViews>
  <sheets>
    <sheet name="Team" sheetId="29" r:id="rId1"/>
    <sheet name="Campaign" sheetId="6" r:id="rId2"/>
    <sheet name="Partner" sheetId="17" r:id="rId3"/>
    <sheet name="Campaign &amp; Partner" sheetId="23" r:id="rId4"/>
    <sheet name="Partner &amp; Placement" sheetId="24" state="hidden" r:id="rId5"/>
    <sheet name="Device" sheetId="27" state="hidden" r:id="rId6"/>
    <sheet name="Campaign &amp; Device" sheetId="25" state="hidden" r:id="rId7"/>
    <sheet name="Partner &amp; Device" sheetId="26" state="hidden" r:id="rId8"/>
    <sheet name="Campaign, Partner, Device" sheetId="28" state="hidden" r:id="rId9"/>
    <sheet name="Benchmarks" sheetId="12" r:id="rId10"/>
    <sheet name="Mapping" sheetId="16" state="hidden" r:id="rId11"/>
  </sheets>
  <definedNames>
    <definedName name="Bar_Dropdown_List" localSheetId="6">OFFSET(#REF!,1,0,COUNTIF(#REF!,"&lt;&gt;0"),1)</definedName>
    <definedName name="Bar_Dropdown_List" localSheetId="3">OFFSET(#REF!,1,0,COUNTIF(#REF!,"&lt;&gt;0"),1)</definedName>
    <definedName name="Bar_Dropdown_List" localSheetId="8">OFFSET(#REF!,1,0,COUNTIF(#REF!,"&lt;&gt;0"),1)</definedName>
    <definedName name="Bar_Dropdown_List" localSheetId="5">OFFSET(#REF!,1,0,COUNTIF(#REF!,"&lt;&gt;0"),1)</definedName>
    <definedName name="Bar_Dropdown_List" localSheetId="7">OFFSET(#REF!,1,0,COUNTIF(#REF!,"&lt;&gt;0"),1)</definedName>
    <definedName name="Bar_Dropdown_List" localSheetId="4">OFFSET(#REF!,1,0,COUNTIF(#REF!,"&lt;&gt;0"),1)</definedName>
    <definedName name="Bar_Dropdown_List" localSheetId="0">OFFSET(#REF!,1,0,COUNTIF(#REF!,"&lt;&gt;0"),1)</definedName>
    <definedName name="Bar_Dropdown_List">OFFSET(#REF!,1,0,COUNTIF(#REF!,"&lt;&gt;0"),1)</definedName>
    <definedName name="Benchmark_Headers">Benchmark_Legend[#Headers]</definedName>
    <definedName name="BMRK_List">OFFSET(Benchmarks!$C$4,0,0,1,COUNTA(Benchmarks!$C$4:$ZN$4))</definedName>
    <definedName name="DeviceDropdown">Mapping!$P$4:$P$13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TRAQtion_Graphs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28" l="1" a="1"/>
  <c r="K9" i="28" s="1"/>
  <c r="U9" i="25" a="1"/>
  <c r="U9" i="25" s="1"/>
  <c r="Z9" i="23" a="1"/>
  <c r="Z9" i="23" s="1"/>
  <c r="X9" i="23" a="1"/>
  <c r="X9" i="23" s="1"/>
  <c r="AA9" i="6" a="1"/>
  <c r="AA9" i="6" s="1"/>
  <c r="Z9" i="6" a="1"/>
  <c r="Z9" i="6" s="1"/>
  <c r="X9" i="6" a="1"/>
  <c r="X9" i="6" s="1"/>
  <c r="V9" i="29" a="1"/>
  <c r="V9" i="29" s="1"/>
  <c r="U9" i="29" a="1"/>
  <c r="U9" i="29" s="1"/>
  <c r="W9" i="6" a="1"/>
  <c r="W9" i="6" s="1"/>
  <c r="Y9" i="28" l="1" a="1"/>
  <c r="Y9" i="28" s="1"/>
  <c r="X9" i="28" a="1"/>
  <c r="X9" i="28" s="1"/>
  <c r="W9" i="28" a="1"/>
  <c r="W9" i="28" s="1"/>
  <c r="V9" i="28" a="1"/>
  <c r="V9" i="28" s="1"/>
  <c r="U9" i="28" a="1"/>
  <c r="U9" i="28" s="1"/>
  <c r="Y9" i="26" a="1"/>
  <c r="Y9" i="26" s="1"/>
  <c r="X9" i="26" a="1"/>
  <c r="X9" i="26" s="1"/>
  <c r="W9" i="26" a="1"/>
  <c r="W9" i="26" s="1"/>
  <c r="V9" i="26" a="1"/>
  <c r="V9" i="26" s="1"/>
  <c r="U9" i="26" a="1"/>
  <c r="U9" i="26" s="1"/>
  <c r="Y9" i="25" a="1"/>
  <c r="Y9" i="25" s="1"/>
  <c r="X9" i="25" a="1"/>
  <c r="X9" i="25" s="1"/>
  <c r="W9" i="25" a="1"/>
  <c r="W9" i="25" s="1"/>
  <c r="V9" i="25" a="1"/>
  <c r="V9" i="25" s="1"/>
  <c r="Y9" i="27" a="1"/>
  <c r="Y9" i="27" s="1"/>
  <c r="X9" i="27" a="1"/>
  <c r="X9" i="27" s="1"/>
  <c r="W9" i="27" a="1"/>
  <c r="W9" i="27" s="1"/>
  <c r="V9" i="27" a="1"/>
  <c r="V9" i="27" s="1"/>
  <c r="U9" i="27" a="1"/>
  <c r="U9" i="27" s="1"/>
  <c r="Y9" i="24" a="1"/>
  <c r="Y9" i="24" s="1"/>
  <c r="X9" i="24" a="1"/>
  <c r="X9" i="24" s="1"/>
  <c r="W9" i="24" a="1"/>
  <c r="W9" i="24" s="1"/>
  <c r="V9" i="24" a="1"/>
  <c r="V9" i="24" s="1"/>
  <c r="U9" i="24" a="1"/>
  <c r="U9" i="24" s="1"/>
  <c r="Y9" i="23" a="1"/>
  <c r="Y9" i="23" s="1"/>
  <c r="W9" i="23" a="1"/>
  <c r="W9" i="23" s="1"/>
  <c r="V9" i="23" a="1"/>
  <c r="V9" i="23" s="1"/>
  <c r="U9" i="23" a="1"/>
  <c r="U9" i="23" s="1"/>
  <c r="Y9" i="17" a="1"/>
  <c r="Y9" i="17" s="1"/>
  <c r="X9" i="17" a="1"/>
  <c r="X9" i="17" s="1"/>
  <c r="W9" i="17" a="1"/>
  <c r="W9" i="17" s="1"/>
  <c r="V9" i="17" a="1"/>
  <c r="V9" i="17" s="1"/>
  <c r="U9" i="17" a="1"/>
  <c r="U9" i="17" s="1"/>
  <c r="Y9" i="6" a="1"/>
  <c r="Y9" i="6" s="1"/>
  <c r="V9" i="6" a="1"/>
  <c r="V9" i="6" s="1"/>
  <c r="U9" i="6" a="1"/>
  <c r="U9" i="6" s="1"/>
  <c r="Y9" i="29" a="1"/>
  <c r="Y9" i="29" s="1"/>
  <c r="X9" i="29" a="1"/>
  <c r="X9" i="29" s="1"/>
  <c r="W9" i="29" a="1"/>
  <c r="W9" i="29" s="1"/>
  <c r="E8" i="26" l="1"/>
  <c r="E8" i="17"/>
  <c r="D8" i="6"/>
  <c r="B16" i="28" l="1"/>
  <c r="B16" i="26"/>
  <c r="B16" i="25"/>
  <c r="L8" i="28" l="1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L8" i="26"/>
  <c r="M8" i="26"/>
  <c r="N8" i="26"/>
  <c r="O8" i="26"/>
  <c r="P8" i="26"/>
  <c r="Q8" i="26"/>
  <c r="R8" i="26"/>
  <c r="S8" i="26"/>
  <c r="T8" i="26"/>
  <c r="U8" i="26"/>
  <c r="V8" i="26"/>
  <c r="W8" i="26"/>
  <c r="X8" i="26"/>
  <c r="Y8" i="26"/>
  <c r="Z8" i="26"/>
  <c r="AA8" i="26"/>
  <c r="L8" i="25"/>
  <c r="M8" i="25"/>
  <c r="N8" i="25"/>
  <c r="O8" i="25"/>
  <c r="P8" i="25"/>
  <c r="Q8" i="25"/>
  <c r="R8" i="25"/>
  <c r="S8" i="25"/>
  <c r="T8" i="25"/>
  <c r="U8" i="25"/>
  <c r="V8" i="25"/>
  <c r="W8" i="25"/>
  <c r="X8" i="25"/>
  <c r="Y8" i="25"/>
  <c r="Z8" i="25"/>
  <c r="AA8" i="25"/>
  <c r="L8" i="27"/>
  <c r="M8" i="27"/>
  <c r="N8" i="27"/>
  <c r="O8" i="27"/>
  <c r="P8" i="27"/>
  <c r="Q8" i="27"/>
  <c r="R8" i="27"/>
  <c r="S8" i="27"/>
  <c r="T8" i="27"/>
  <c r="U8" i="27"/>
  <c r="V8" i="27"/>
  <c r="W8" i="27"/>
  <c r="X8" i="27"/>
  <c r="Y8" i="27"/>
  <c r="Z8" i="27"/>
  <c r="AA8" i="27"/>
  <c r="L8" i="24"/>
  <c r="M8" i="24"/>
  <c r="N8" i="24"/>
  <c r="O8" i="24"/>
  <c r="P8" i="24"/>
  <c r="Q8" i="24"/>
  <c r="R8" i="24"/>
  <c r="S8" i="24"/>
  <c r="T8" i="24"/>
  <c r="U8" i="24"/>
  <c r="V8" i="24"/>
  <c r="W8" i="24"/>
  <c r="X8" i="24"/>
  <c r="Y8" i="24"/>
  <c r="Z8" i="24"/>
  <c r="AA8" i="24"/>
  <c r="L8" i="23"/>
  <c r="M8" i="23"/>
  <c r="N8" i="23"/>
  <c r="O8" i="23"/>
  <c r="P8" i="23"/>
  <c r="Q8" i="23"/>
  <c r="R8" i="23"/>
  <c r="S8" i="23"/>
  <c r="T8" i="23"/>
  <c r="U8" i="23"/>
  <c r="V8" i="23"/>
  <c r="W8" i="23"/>
  <c r="X8" i="23"/>
  <c r="Y8" i="23"/>
  <c r="Z8" i="23"/>
  <c r="AA8" i="23"/>
  <c r="L8" i="17"/>
  <c r="M8" i="17"/>
  <c r="N8" i="17"/>
  <c r="O8" i="17"/>
  <c r="P8" i="17"/>
  <c r="Q8" i="17"/>
  <c r="R8" i="17"/>
  <c r="S8" i="17"/>
  <c r="T8" i="17"/>
  <c r="U8" i="17"/>
  <c r="V8" i="17"/>
  <c r="W8" i="17"/>
  <c r="X8" i="17"/>
  <c r="Y8" i="17"/>
  <c r="Z8" i="17"/>
  <c r="AA8" i="17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K8" i="17"/>
  <c r="K8" i="28"/>
  <c r="K8" i="26"/>
  <c r="K8" i="25"/>
  <c r="K8" i="27"/>
  <c r="K8" i="24"/>
  <c r="K8" i="23"/>
  <c r="K8" i="6"/>
  <c r="K8" i="29"/>
  <c r="B16" i="24"/>
  <c r="N11" i="24" s="1" a="1"/>
  <c r="N11" i="24" s="1"/>
  <c r="Q11" i="6" a="1"/>
  <c r="Q11" i="6" s="1"/>
  <c r="AA10" i="6" a="1"/>
  <c r="AA10" i="6" s="1"/>
  <c r="Z10" i="6" a="1"/>
  <c r="Z10" i="6" s="1"/>
  <c r="Y10" i="6" a="1"/>
  <c r="Y10" i="6" s="1"/>
  <c r="X10" i="6" a="1"/>
  <c r="X10" i="6" s="1"/>
  <c r="W10" i="6" a="1"/>
  <c r="W10" i="6" s="1"/>
  <c r="V10" i="6" a="1"/>
  <c r="V10" i="6" s="1"/>
  <c r="U10" i="6" a="1"/>
  <c r="U10" i="6" s="1"/>
  <c r="T10" i="6" a="1"/>
  <c r="T10" i="6" s="1"/>
  <c r="S10" i="6" a="1"/>
  <c r="S10" i="6" s="1"/>
  <c r="R10" i="6" a="1"/>
  <c r="R10" i="6" s="1"/>
  <c r="Q10" i="6" a="1"/>
  <c r="Q10" i="6" s="1"/>
  <c r="P10" i="6" a="1"/>
  <c r="P10" i="6" s="1"/>
  <c r="O10" i="6" a="1"/>
  <c r="O10" i="6" s="1"/>
  <c r="N10" i="6" a="1"/>
  <c r="N10" i="6" s="1"/>
  <c r="M10" i="6" a="1"/>
  <c r="M10" i="6" s="1"/>
  <c r="L10" i="6" a="1"/>
  <c r="L10" i="6" s="1"/>
  <c r="K10" i="6" a="1"/>
  <c r="K10" i="6" s="1"/>
  <c r="Y11" i="17" a="1"/>
  <c r="Y11" i="17" s="1"/>
  <c r="U11" i="17" a="1"/>
  <c r="U11" i="17" s="1"/>
  <c r="M11" i="17" a="1"/>
  <c r="M11" i="17" s="1"/>
  <c r="AA10" i="17" a="1"/>
  <c r="AA10" i="17" s="1"/>
  <c r="Z10" i="17" a="1"/>
  <c r="Z10" i="17" s="1"/>
  <c r="Y10" i="17" a="1"/>
  <c r="Y10" i="17" s="1"/>
  <c r="X10" i="17" a="1"/>
  <c r="X10" i="17" s="1"/>
  <c r="W10" i="17" a="1"/>
  <c r="W10" i="17" s="1"/>
  <c r="V10" i="17" a="1"/>
  <c r="V10" i="17" s="1"/>
  <c r="U10" i="17" a="1"/>
  <c r="U10" i="17" s="1"/>
  <c r="T10" i="17" a="1"/>
  <c r="T10" i="17" s="1"/>
  <c r="S10" i="17" a="1"/>
  <c r="S10" i="17" s="1"/>
  <c r="R10" i="17" a="1"/>
  <c r="R10" i="17" s="1"/>
  <c r="Q10" i="17" a="1"/>
  <c r="Q10" i="17" s="1"/>
  <c r="P10" i="17" a="1"/>
  <c r="P10" i="17" s="1"/>
  <c r="O10" i="17" a="1"/>
  <c r="O10" i="17" s="1"/>
  <c r="N10" i="17" a="1"/>
  <c r="N10" i="17" s="1"/>
  <c r="M10" i="17" a="1"/>
  <c r="M10" i="17" s="1"/>
  <c r="L10" i="17" a="1"/>
  <c r="L10" i="17" s="1"/>
  <c r="K10" i="17" a="1"/>
  <c r="K10" i="17" s="1"/>
  <c r="AA10" i="23" a="1"/>
  <c r="AA10" i="23" s="1"/>
  <c r="Z10" i="23" a="1"/>
  <c r="Z10" i="23" s="1"/>
  <c r="Y10" i="23" a="1"/>
  <c r="Y10" i="23" s="1"/>
  <c r="X10" i="23" a="1"/>
  <c r="X10" i="23" s="1"/>
  <c r="W10" i="23" a="1"/>
  <c r="W10" i="23" s="1"/>
  <c r="V10" i="23" a="1"/>
  <c r="V10" i="23" s="1"/>
  <c r="U10" i="23" a="1"/>
  <c r="U10" i="23" s="1"/>
  <c r="T10" i="23" a="1"/>
  <c r="T10" i="23" s="1"/>
  <c r="S10" i="23" a="1"/>
  <c r="S10" i="23" s="1"/>
  <c r="R10" i="23" a="1"/>
  <c r="R10" i="23" s="1"/>
  <c r="Q10" i="23" a="1"/>
  <c r="Q10" i="23" s="1"/>
  <c r="P10" i="23" a="1"/>
  <c r="P10" i="23" s="1"/>
  <c r="O10" i="23" a="1"/>
  <c r="O10" i="23" s="1"/>
  <c r="N10" i="23" a="1"/>
  <c r="N10" i="23" s="1"/>
  <c r="M10" i="23" a="1"/>
  <c r="M10" i="23" s="1"/>
  <c r="L10" i="23" a="1"/>
  <c r="L10" i="23" s="1"/>
  <c r="K10" i="23" a="1"/>
  <c r="K10" i="23" s="1"/>
  <c r="AA10" i="24" a="1"/>
  <c r="AA10" i="24" s="1"/>
  <c r="Z10" i="24" a="1"/>
  <c r="Z10" i="24" s="1"/>
  <c r="Y10" i="24" a="1"/>
  <c r="Y10" i="24" s="1"/>
  <c r="X10" i="24" a="1"/>
  <c r="X10" i="24" s="1"/>
  <c r="W10" i="24" a="1"/>
  <c r="W10" i="24" s="1"/>
  <c r="V10" i="24" a="1"/>
  <c r="V10" i="24" s="1"/>
  <c r="U10" i="24" a="1"/>
  <c r="U10" i="24" s="1"/>
  <c r="T10" i="24" a="1"/>
  <c r="T10" i="24" s="1"/>
  <c r="S10" i="24" a="1"/>
  <c r="S10" i="24" s="1"/>
  <c r="R10" i="24" a="1"/>
  <c r="R10" i="24" s="1"/>
  <c r="Q10" i="24" a="1"/>
  <c r="Q10" i="24" s="1"/>
  <c r="P10" i="24" a="1"/>
  <c r="P10" i="24" s="1"/>
  <c r="O10" i="24" a="1"/>
  <c r="O10" i="24" s="1"/>
  <c r="N10" i="24" a="1"/>
  <c r="N10" i="24" s="1"/>
  <c r="M10" i="24" a="1"/>
  <c r="M10" i="24" s="1"/>
  <c r="L10" i="24" a="1"/>
  <c r="L10" i="24" s="1"/>
  <c r="K10" i="24" a="1"/>
  <c r="K10" i="24" s="1"/>
  <c r="B16" i="27"/>
  <c r="AA10" i="27" a="1"/>
  <c r="AA10" i="27" s="1"/>
  <c r="Z10" i="27" a="1"/>
  <c r="Z10" i="27" s="1"/>
  <c r="Y10" i="27" a="1"/>
  <c r="Y10" i="27" s="1"/>
  <c r="X10" i="27" a="1"/>
  <c r="X10" i="27" s="1"/>
  <c r="W10" i="27" a="1"/>
  <c r="W10" i="27" s="1"/>
  <c r="V10" i="27" a="1"/>
  <c r="V10" i="27" s="1"/>
  <c r="U10" i="27" a="1"/>
  <c r="U10" i="27" s="1"/>
  <c r="T10" i="27" a="1"/>
  <c r="T10" i="27" s="1"/>
  <c r="S10" i="27" a="1"/>
  <c r="S10" i="27" s="1"/>
  <c r="R10" i="27" a="1"/>
  <c r="R10" i="27" s="1"/>
  <c r="Q10" i="27" a="1"/>
  <c r="Q10" i="27" s="1"/>
  <c r="P10" i="27" a="1"/>
  <c r="P10" i="27" s="1"/>
  <c r="O10" i="27" a="1"/>
  <c r="O10" i="27" s="1"/>
  <c r="N10" i="27" a="1"/>
  <c r="N10" i="27" s="1"/>
  <c r="M10" i="27" a="1"/>
  <c r="M10" i="27" s="1"/>
  <c r="L10" i="27" a="1"/>
  <c r="L10" i="27" s="1"/>
  <c r="K10" i="27" a="1"/>
  <c r="K10" i="27" s="1"/>
  <c r="D8" i="25"/>
  <c r="Z11" i="25" a="1"/>
  <c r="Z11" i="25" s="1"/>
  <c r="Y11" i="25" a="1"/>
  <c r="Y11" i="25" s="1"/>
  <c r="V11" i="25" a="1"/>
  <c r="V11" i="25" s="1"/>
  <c r="U11" i="25" a="1"/>
  <c r="U11" i="25" s="1"/>
  <c r="R11" i="25" a="1"/>
  <c r="R11" i="25" s="1"/>
  <c r="Q11" i="25" a="1"/>
  <c r="Q11" i="25" s="1"/>
  <c r="N11" i="25" a="1"/>
  <c r="N11" i="25" s="1"/>
  <c r="M11" i="25" a="1"/>
  <c r="M11" i="25" s="1"/>
  <c r="AA10" i="25" a="1"/>
  <c r="AA10" i="25" s="1"/>
  <c r="Z10" i="25" a="1"/>
  <c r="Z10" i="25" s="1"/>
  <c r="Y10" i="25" a="1"/>
  <c r="Y10" i="25" s="1"/>
  <c r="X10" i="25" a="1"/>
  <c r="X10" i="25" s="1"/>
  <c r="W10" i="25" a="1"/>
  <c r="W10" i="25" s="1"/>
  <c r="V10" i="25" a="1"/>
  <c r="V10" i="25" s="1"/>
  <c r="U10" i="25" a="1"/>
  <c r="U10" i="25" s="1"/>
  <c r="T10" i="25" a="1"/>
  <c r="T10" i="25" s="1"/>
  <c r="S10" i="25" a="1"/>
  <c r="S10" i="25" s="1"/>
  <c r="R10" i="25" a="1"/>
  <c r="R10" i="25" s="1"/>
  <c r="Q10" i="25" a="1"/>
  <c r="Q10" i="25" s="1"/>
  <c r="P10" i="25" a="1"/>
  <c r="P10" i="25" s="1"/>
  <c r="O10" i="25" a="1"/>
  <c r="O10" i="25" s="1"/>
  <c r="N10" i="25" a="1"/>
  <c r="N10" i="25" s="1"/>
  <c r="M10" i="25" a="1"/>
  <c r="M10" i="25" s="1"/>
  <c r="L10" i="25" a="1"/>
  <c r="L10" i="25" s="1"/>
  <c r="K10" i="25" a="1"/>
  <c r="K10" i="25" s="1"/>
  <c r="AA11" i="26" a="1"/>
  <c r="AA11" i="26" s="1"/>
  <c r="Z11" i="26" a="1"/>
  <c r="Z11" i="26" s="1"/>
  <c r="Y11" i="26" a="1"/>
  <c r="Y11" i="26" s="1"/>
  <c r="X11" i="26" a="1"/>
  <c r="X11" i="26" s="1"/>
  <c r="W11" i="26" a="1"/>
  <c r="W11" i="26" s="1"/>
  <c r="V11" i="26" a="1"/>
  <c r="V11" i="26" s="1"/>
  <c r="U11" i="26" a="1"/>
  <c r="U11" i="26" s="1"/>
  <c r="T11" i="26" a="1"/>
  <c r="T11" i="26" s="1"/>
  <c r="S11" i="26" a="1"/>
  <c r="S11" i="26" s="1"/>
  <c r="R11" i="26" a="1"/>
  <c r="R11" i="26" s="1"/>
  <c r="Q11" i="26" a="1"/>
  <c r="Q11" i="26" s="1"/>
  <c r="P11" i="26" a="1"/>
  <c r="P11" i="26" s="1"/>
  <c r="O11" i="26" a="1"/>
  <c r="O11" i="26" s="1"/>
  <c r="N11" i="26" a="1"/>
  <c r="N11" i="26" s="1"/>
  <c r="M11" i="26" a="1"/>
  <c r="M11" i="26" s="1"/>
  <c r="L11" i="26" a="1"/>
  <c r="L11" i="26" s="1"/>
  <c r="K11" i="26" a="1"/>
  <c r="K11" i="26" s="1"/>
  <c r="AA10" i="26" a="1"/>
  <c r="AA10" i="26" s="1"/>
  <c r="Z10" i="26" a="1"/>
  <c r="Z10" i="26" s="1"/>
  <c r="Y10" i="26" a="1"/>
  <c r="Y10" i="26" s="1"/>
  <c r="X10" i="26" a="1"/>
  <c r="X10" i="26" s="1"/>
  <c r="W10" i="26" a="1"/>
  <c r="W10" i="26" s="1"/>
  <c r="V10" i="26" a="1"/>
  <c r="V10" i="26" s="1"/>
  <c r="U10" i="26" a="1"/>
  <c r="U10" i="26" s="1"/>
  <c r="T10" i="26" a="1"/>
  <c r="T10" i="26" s="1"/>
  <c r="S10" i="26" a="1"/>
  <c r="S10" i="26" s="1"/>
  <c r="R10" i="26" a="1"/>
  <c r="R10" i="26" s="1"/>
  <c r="Q10" i="26" a="1"/>
  <c r="Q10" i="26" s="1"/>
  <c r="P10" i="26" a="1"/>
  <c r="P10" i="26" s="1"/>
  <c r="O10" i="26" a="1"/>
  <c r="O10" i="26" s="1"/>
  <c r="N10" i="26" a="1"/>
  <c r="N10" i="26" s="1"/>
  <c r="M10" i="26" a="1"/>
  <c r="M10" i="26" s="1"/>
  <c r="L10" i="26" a="1"/>
  <c r="L10" i="26" s="1"/>
  <c r="K10" i="26" a="1"/>
  <c r="K10" i="26" s="1"/>
  <c r="AA11" i="28" a="1"/>
  <c r="AA11" i="28" s="1"/>
  <c r="Z11" i="28" a="1"/>
  <c r="Z11" i="28" s="1"/>
  <c r="Y11" i="28" a="1"/>
  <c r="Y11" i="28" s="1"/>
  <c r="X11" i="28" a="1"/>
  <c r="X11" i="28" s="1"/>
  <c r="W11" i="28" a="1"/>
  <c r="W11" i="28" s="1"/>
  <c r="V11" i="28" a="1"/>
  <c r="V11" i="28" s="1"/>
  <c r="U11" i="28" a="1"/>
  <c r="U11" i="28" s="1"/>
  <c r="T11" i="28" a="1"/>
  <c r="T11" i="28" s="1"/>
  <c r="S11" i="28" a="1"/>
  <c r="S11" i="28" s="1"/>
  <c r="R11" i="28" a="1"/>
  <c r="R11" i="28" s="1"/>
  <c r="Q11" i="28" a="1"/>
  <c r="Q11" i="28" s="1"/>
  <c r="P11" i="28" a="1"/>
  <c r="P11" i="28" s="1"/>
  <c r="O11" i="28" a="1"/>
  <c r="O11" i="28" s="1"/>
  <c r="N11" i="28" a="1"/>
  <c r="N11" i="28" s="1"/>
  <c r="M11" i="28" a="1"/>
  <c r="M11" i="28" s="1"/>
  <c r="L11" i="28" a="1"/>
  <c r="L11" i="28" s="1"/>
  <c r="K11" i="28" a="1"/>
  <c r="K11" i="28" s="1"/>
  <c r="AA10" i="28" a="1"/>
  <c r="AA10" i="28" s="1"/>
  <c r="Z10" i="28" a="1"/>
  <c r="Z10" i="28" s="1"/>
  <c r="Y10" i="28" a="1"/>
  <c r="Y10" i="28" s="1"/>
  <c r="X10" i="28" a="1"/>
  <c r="X10" i="28" s="1"/>
  <c r="W10" i="28" a="1"/>
  <c r="W10" i="28" s="1"/>
  <c r="V10" i="28" a="1"/>
  <c r="V10" i="28" s="1"/>
  <c r="U10" i="28" a="1"/>
  <c r="U10" i="28" s="1"/>
  <c r="T10" i="28" a="1"/>
  <c r="T10" i="28" s="1"/>
  <c r="S10" i="28" a="1"/>
  <c r="S10" i="28" s="1"/>
  <c r="R10" i="28" a="1"/>
  <c r="R10" i="28" s="1"/>
  <c r="Q10" i="28" a="1"/>
  <c r="Q10" i="28" s="1"/>
  <c r="P10" i="28" a="1"/>
  <c r="P10" i="28" s="1"/>
  <c r="O10" i="28" a="1"/>
  <c r="O10" i="28" s="1"/>
  <c r="N10" i="28" a="1"/>
  <c r="N10" i="28" s="1"/>
  <c r="M10" i="28" a="1"/>
  <c r="M10" i="28" s="1"/>
  <c r="L10" i="28" a="1"/>
  <c r="L10" i="28" s="1"/>
  <c r="K10" i="28" a="1"/>
  <c r="K10" i="28" s="1"/>
  <c r="AA9" i="28" a="1"/>
  <c r="AA9" i="28" s="1"/>
  <c r="Z9" i="28" a="1"/>
  <c r="Z9" i="28" s="1"/>
  <c r="T9" i="28" a="1"/>
  <c r="T9" i="28" s="1"/>
  <c r="S9" i="28" a="1"/>
  <c r="S9" i="28" s="1"/>
  <c r="R9" i="28" a="1"/>
  <c r="R9" i="28" s="1"/>
  <c r="Q9" i="28" a="1"/>
  <c r="Q9" i="28" s="1"/>
  <c r="P9" i="28" a="1"/>
  <c r="P9" i="28" s="1"/>
  <c r="O9" i="28" a="1"/>
  <c r="O9" i="28" s="1"/>
  <c r="N9" i="28" a="1"/>
  <c r="N9" i="28" s="1"/>
  <c r="M9" i="28" a="1"/>
  <c r="M9" i="28" s="1"/>
  <c r="L9" i="28" a="1"/>
  <c r="L9" i="28" s="1"/>
  <c r="D8" i="28"/>
  <c r="AA9" i="26" a="1"/>
  <c r="AA9" i="26" s="1"/>
  <c r="Z9" i="26" a="1"/>
  <c r="Z9" i="26" s="1"/>
  <c r="T9" i="26" a="1"/>
  <c r="T9" i="26" s="1"/>
  <c r="S9" i="26" a="1"/>
  <c r="S9" i="26" s="1"/>
  <c r="R9" i="26" a="1"/>
  <c r="R9" i="26" s="1"/>
  <c r="Q9" i="26" a="1"/>
  <c r="Q9" i="26" s="1"/>
  <c r="P9" i="26" a="1"/>
  <c r="P9" i="26" s="1"/>
  <c r="O9" i="26" a="1"/>
  <c r="O9" i="26" s="1"/>
  <c r="N9" i="26" a="1"/>
  <c r="N9" i="26" s="1"/>
  <c r="M9" i="26" a="1"/>
  <c r="M9" i="26" s="1"/>
  <c r="L9" i="26" a="1"/>
  <c r="L9" i="26" s="1"/>
  <c r="K9" i="26" a="1"/>
  <c r="K9" i="26" s="1"/>
  <c r="A9" i="26"/>
  <c r="AA9" i="25" a="1"/>
  <c r="AA9" i="25" s="1"/>
  <c r="Z9" i="25" a="1"/>
  <c r="Z9" i="25" s="1"/>
  <c r="T9" i="25" a="1"/>
  <c r="T9" i="25" s="1"/>
  <c r="S9" i="25" a="1"/>
  <c r="S9" i="25" s="1"/>
  <c r="R9" i="25" a="1"/>
  <c r="R9" i="25" s="1"/>
  <c r="Q9" i="25" a="1"/>
  <c r="Q9" i="25" s="1"/>
  <c r="P9" i="25" a="1"/>
  <c r="P9" i="25" s="1"/>
  <c r="O9" i="25" a="1"/>
  <c r="O9" i="25" s="1"/>
  <c r="N9" i="25" a="1"/>
  <c r="N9" i="25" s="1"/>
  <c r="M9" i="25" a="1"/>
  <c r="M9" i="25" s="1"/>
  <c r="L9" i="25" a="1"/>
  <c r="L9" i="25" s="1"/>
  <c r="K9" i="25" a="1"/>
  <c r="K9" i="25" s="1"/>
  <c r="AA9" i="27" a="1"/>
  <c r="AA9" i="27" s="1"/>
  <c r="Z9" i="27" a="1"/>
  <c r="Z9" i="27" s="1"/>
  <c r="T9" i="27" a="1"/>
  <c r="T9" i="27" s="1"/>
  <c r="S9" i="27" a="1"/>
  <c r="S9" i="27" s="1"/>
  <c r="R9" i="27" a="1"/>
  <c r="R9" i="27" s="1"/>
  <c r="Q9" i="27" a="1"/>
  <c r="Q9" i="27" s="1"/>
  <c r="P9" i="27" a="1"/>
  <c r="P9" i="27" s="1"/>
  <c r="O9" i="27" a="1"/>
  <c r="O9" i="27" s="1"/>
  <c r="N9" i="27" a="1"/>
  <c r="N9" i="27" s="1"/>
  <c r="M9" i="27" a="1"/>
  <c r="M9" i="27" s="1"/>
  <c r="L9" i="27" a="1"/>
  <c r="L9" i="27" s="1"/>
  <c r="K9" i="27" a="1"/>
  <c r="K9" i="27" s="1"/>
  <c r="A9" i="27"/>
  <c r="C8" i="27"/>
  <c r="AA9" i="24" a="1"/>
  <c r="AA9" i="24" s="1"/>
  <c r="Z9" i="24" a="1"/>
  <c r="Z9" i="24" s="1"/>
  <c r="T9" i="24" a="1"/>
  <c r="T9" i="24" s="1"/>
  <c r="S9" i="24" a="1"/>
  <c r="S9" i="24" s="1"/>
  <c r="R9" i="24" a="1"/>
  <c r="R9" i="24" s="1"/>
  <c r="Q9" i="24" a="1"/>
  <c r="Q9" i="24" s="1"/>
  <c r="P9" i="24" a="1"/>
  <c r="P9" i="24" s="1"/>
  <c r="O9" i="24" a="1"/>
  <c r="O9" i="24" s="1"/>
  <c r="N9" i="24" a="1"/>
  <c r="N9" i="24" s="1"/>
  <c r="M9" i="24" a="1"/>
  <c r="M9" i="24" s="1"/>
  <c r="L9" i="24" a="1"/>
  <c r="L9" i="24" s="1"/>
  <c r="K9" i="24" a="1"/>
  <c r="K9" i="24" s="1"/>
  <c r="E8" i="24"/>
  <c r="AA9" i="23" a="1"/>
  <c r="AA9" i="23" s="1"/>
  <c r="T9" i="23" a="1"/>
  <c r="T9" i="23" s="1"/>
  <c r="S9" i="23" a="1"/>
  <c r="S9" i="23" s="1"/>
  <c r="R9" i="23" a="1"/>
  <c r="R9" i="23" s="1"/>
  <c r="Q9" i="23" a="1"/>
  <c r="Q9" i="23" s="1"/>
  <c r="P9" i="23" a="1"/>
  <c r="P9" i="23" s="1"/>
  <c r="O9" i="23" a="1"/>
  <c r="O9" i="23" s="1"/>
  <c r="N9" i="23" a="1"/>
  <c r="N9" i="23" s="1"/>
  <c r="M9" i="23" a="1"/>
  <c r="M9" i="23" s="1"/>
  <c r="L9" i="23" a="1"/>
  <c r="L9" i="23" s="1"/>
  <c r="K9" i="23" a="1"/>
  <c r="K9" i="23" s="1"/>
  <c r="D8" i="23"/>
  <c r="AA9" i="17" a="1"/>
  <c r="AA9" i="17" s="1"/>
  <c r="Z9" i="17" a="1"/>
  <c r="Z9" i="17" s="1"/>
  <c r="T9" i="17" a="1"/>
  <c r="T9" i="17" s="1"/>
  <c r="S9" i="17" a="1"/>
  <c r="S9" i="17" s="1"/>
  <c r="R9" i="17" a="1"/>
  <c r="R9" i="17" s="1"/>
  <c r="Q9" i="17" a="1"/>
  <c r="Q9" i="17" s="1"/>
  <c r="P9" i="17" a="1"/>
  <c r="P9" i="17" s="1"/>
  <c r="O9" i="17" a="1"/>
  <c r="O9" i="17" s="1"/>
  <c r="N9" i="17" a="1"/>
  <c r="N9" i="17" s="1"/>
  <c r="M9" i="17" a="1"/>
  <c r="M9" i="17" s="1"/>
  <c r="L9" i="17" a="1"/>
  <c r="L9" i="17" s="1"/>
  <c r="K9" i="17" a="1"/>
  <c r="K9" i="17" s="1"/>
  <c r="T9" i="6" a="1"/>
  <c r="T9" i="6" s="1"/>
  <c r="S9" i="6" a="1"/>
  <c r="S9" i="6" s="1"/>
  <c r="R9" i="6" a="1"/>
  <c r="R9" i="6" s="1"/>
  <c r="Q9" i="6" a="1"/>
  <c r="Q9" i="6" s="1"/>
  <c r="P9" i="6" a="1"/>
  <c r="P9" i="6" s="1"/>
  <c r="O9" i="6" a="1"/>
  <c r="O9" i="6" s="1"/>
  <c r="N9" i="6" a="1"/>
  <c r="N9" i="6" s="1"/>
  <c r="M9" i="6" a="1"/>
  <c r="M9" i="6" s="1"/>
  <c r="L9" i="6" a="1"/>
  <c r="L9" i="6" s="1"/>
  <c r="K9" i="6" a="1"/>
  <c r="K9" i="6" s="1"/>
  <c r="B16" i="29"/>
  <c r="AA10" i="29" a="1"/>
  <c r="AA10" i="29" s="1"/>
  <c r="Z10" i="29" a="1"/>
  <c r="Z10" i="29" s="1"/>
  <c r="Y10" i="29" a="1"/>
  <c r="Y10" i="29" s="1"/>
  <c r="X10" i="29" a="1"/>
  <c r="X10" i="29" s="1"/>
  <c r="W10" i="29" a="1"/>
  <c r="W10" i="29" s="1"/>
  <c r="V10" i="29" a="1"/>
  <c r="V10" i="29" s="1"/>
  <c r="U10" i="29" a="1"/>
  <c r="U10" i="29" s="1"/>
  <c r="T10" i="29" a="1"/>
  <c r="T10" i="29" s="1"/>
  <c r="S10" i="29" a="1"/>
  <c r="S10" i="29" s="1"/>
  <c r="R10" i="29" a="1"/>
  <c r="R10" i="29" s="1"/>
  <c r="Q10" i="29" a="1"/>
  <c r="Q10" i="29" s="1"/>
  <c r="P10" i="29" a="1"/>
  <c r="P10" i="29" s="1"/>
  <c r="O10" i="29" a="1"/>
  <c r="O10" i="29" s="1"/>
  <c r="N10" i="29" a="1"/>
  <c r="N10" i="29" s="1"/>
  <c r="M10" i="29" a="1"/>
  <c r="M10" i="29" s="1"/>
  <c r="L10" i="29" a="1"/>
  <c r="L10" i="29" s="1"/>
  <c r="K10" i="29" a="1"/>
  <c r="K10" i="29" s="1"/>
  <c r="AA9" i="29" a="1"/>
  <c r="AA9" i="29" s="1"/>
  <c r="Z9" i="29" a="1"/>
  <c r="Z9" i="29" s="1"/>
  <c r="T9" i="29" a="1"/>
  <c r="T9" i="29" s="1"/>
  <c r="S9" i="29" a="1"/>
  <c r="S9" i="29" s="1"/>
  <c r="R9" i="29" a="1"/>
  <c r="R9" i="29" s="1"/>
  <c r="Q9" i="29" a="1"/>
  <c r="Q9" i="29" s="1"/>
  <c r="P9" i="29" a="1"/>
  <c r="P9" i="29" s="1"/>
  <c r="O9" i="29" a="1"/>
  <c r="O9" i="29" s="1"/>
  <c r="N9" i="29" a="1"/>
  <c r="N9" i="29" s="1"/>
  <c r="M9" i="29" a="1"/>
  <c r="M9" i="29" s="1"/>
  <c r="L9" i="29" a="1"/>
  <c r="L9" i="29" s="1"/>
  <c r="K9" i="29" a="1"/>
  <c r="K9" i="29" s="1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B8" i="29"/>
  <c r="S11" i="6" a="1"/>
  <c r="S11" i="6" s="1"/>
  <c r="V11" i="6" a="1"/>
  <c r="V11" i="6" s="1"/>
  <c r="Z11" i="27" a="1"/>
  <c r="Z11" i="27" s="1"/>
  <c r="V11" i="27" a="1"/>
  <c r="V11" i="27" s="1"/>
  <c r="R11" i="27" a="1"/>
  <c r="R11" i="27" s="1"/>
  <c r="N11" i="27" a="1"/>
  <c r="N11" i="27" s="1"/>
  <c r="Y11" i="27" a="1"/>
  <c r="Y11" i="27" s="1"/>
  <c r="U11" i="27" a="1"/>
  <c r="U11" i="27" s="1"/>
  <c r="Q11" i="27" a="1"/>
  <c r="Q11" i="27" s="1"/>
  <c r="M11" i="27" a="1"/>
  <c r="M11" i="27" s="1"/>
  <c r="X11" i="27" a="1"/>
  <c r="X11" i="27" s="1"/>
  <c r="T11" i="27" a="1"/>
  <c r="T11" i="27" s="1"/>
  <c r="P11" i="27" a="1"/>
  <c r="P11" i="27" s="1"/>
  <c r="L11" i="27" a="1"/>
  <c r="L11" i="27" s="1"/>
  <c r="S11" i="27" a="1"/>
  <c r="S11" i="27" s="1"/>
  <c r="O11" i="27" a="1"/>
  <c r="O11" i="27" s="1"/>
  <c r="AA11" i="27" a="1"/>
  <c r="AA11" i="27" s="1"/>
  <c r="W11" i="27" a="1"/>
  <c r="W11" i="27" s="1"/>
  <c r="K11" i="27" a="1"/>
  <c r="K11" i="27" s="1"/>
  <c r="U11" i="24" a="1"/>
  <c r="U11" i="24" s="1"/>
  <c r="Q11" i="24" a="1"/>
  <c r="Q11" i="24" s="1"/>
  <c r="P11" i="24" a="1"/>
  <c r="P11" i="24" s="1"/>
  <c r="K11" i="25" a="1"/>
  <c r="K11" i="25" s="1"/>
  <c r="O11" i="25" a="1"/>
  <c r="O11" i="25" s="1"/>
  <c r="S11" i="25" a="1"/>
  <c r="S11" i="25" s="1"/>
  <c r="W11" i="25" a="1"/>
  <c r="W11" i="25" s="1"/>
  <c r="AA11" i="25" a="1"/>
  <c r="AA11" i="25" s="1"/>
  <c r="T11" i="6" a="1"/>
  <c r="T11" i="6" s="1"/>
  <c r="L11" i="25" a="1"/>
  <c r="L11" i="25" s="1"/>
  <c r="P11" i="25" a="1"/>
  <c r="P11" i="25" s="1"/>
  <c r="T11" i="25" a="1"/>
  <c r="T11" i="25" s="1"/>
  <c r="X11" i="25" a="1"/>
  <c r="X11" i="25" s="1"/>
  <c r="O11" i="23" l="1" a="1"/>
  <c r="O11" i="23" s="1"/>
  <c r="U11" i="23" a="1"/>
  <c r="U11" i="23" s="1"/>
  <c r="Z11" i="23" a="1"/>
  <c r="Z11" i="23" s="1"/>
  <c r="O11" i="24" a="1"/>
  <c r="O11" i="24" s="1"/>
  <c r="V11" i="24" a="1"/>
  <c r="V11" i="24" s="1"/>
  <c r="T11" i="24" a="1"/>
  <c r="T11" i="24" s="1"/>
  <c r="S11" i="24" a="1"/>
  <c r="S11" i="24" s="1"/>
  <c r="K11" i="23" a="1"/>
  <c r="K11" i="23" s="1"/>
  <c r="Q11" i="23" a="1"/>
  <c r="Q11" i="23" s="1"/>
  <c r="V11" i="23" a="1"/>
  <c r="V11" i="23" s="1"/>
  <c r="AA11" i="23" a="1"/>
  <c r="AA11" i="23" s="1"/>
  <c r="M11" i="23" a="1"/>
  <c r="M11" i="23" s="1"/>
  <c r="R11" i="23" a="1"/>
  <c r="R11" i="23" s="1"/>
  <c r="W11" i="23" a="1"/>
  <c r="W11" i="23" s="1"/>
  <c r="N11" i="23" a="1"/>
  <c r="N11" i="23" s="1"/>
  <c r="S11" i="23" a="1"/>
  <c r="S11" i="23" s="1"/>
  <c r="Y11" i="23" a="1"/>
  <c r="Y11" i="23" s="1"/>
  <c r="AA11" i="6" a="1"/>
  <c r="AA11" i="6" s="1"/>
  <c r="M11" i="6" a="1"/>
  <c r="M11" i="6" s="1"/>
  <c r="P11" i="6" a="1"/>
  <c r="P11" i="6" s="1"/>
  <c r="O11" i="6" a="1"/>
  <c r="O11" i="6" s="1"/>
  <c r="L11" i="6" a="1"/>
  <c r="L11" i="6" s="1"/>
  <c r="N11" i="6" a="1"/>
  <c r="N11" i="6" s="1"/>
  <c r="Z11" i="6" a="1"/>
  <c r="Z11" i="6" s="1"/>
  <c r="Y11" i="6" a="1"/>
  <c r="Y11" i="6" s="1"/>
  <c r="K11" i="6" a="1"/>
  <c r="K11" i="6" s="1"/>
  <c r="U11" i="6" a="1"/>
  <c r="U11" i="6" s="1"/>
  <c r="X11" i="6" a="1"/>
  <c r="X11" i="6" s="1"/>
  <c r="K11" i="29" a="1"/>
  <c r="K11" i="29" s="1"/>
  <c r="Y11" i="29" a="1"/>
  <c r="Y11" i="29" s="1"/>
  <c r="AA11" i="29" a="1"/>
  <c r="AA11" i="29" s="1"/>
  <c r="T11" i="29" a="1"/>
  <c r="T11" i="29" s="1"/>
  <c r="R11" i="29" a="1"/>
  <c r="R11" i="29" s="1"/>
  <c r="Z11" i="29" a="1"/>
  <c r="Z11" i="29" s="1"/>
  <c r="U11" i="29" a="1"/>
  <c r="U11" i="29" s="1"/>
  <c r="S11" i="29" a="1"/>
  <c r="S11" i="29" s="1"/>
  <c r="L11" i="23" a="1"/>
  <c r="L11" i="23" s="1"/>
  <c r="P11" i="23" a="1"/>
  <c r="P11" i="23" s="1"/>
  <c r="T11" i="23" a="1"/>
  <c r="T11" i="23" s="1"/>
  <c r="X11" i="23" a="1"/>
  <c r="X11" i="23" s="1"/>
  <c r="Q11" i="17" a="1"/>
  <c r="Q11" i="17" s="1"/>
  <c r="L11" i="17" a="1"/>
  <c r="L11" i="17" s="1"/>
  <c r="P11" i="17" a="1"/>
  <c r="P11" i="17" s="1"/>
  <c r="T11" i="17" a="1"/>
  <c r="T11" i="17" s="1"/>
  <c r="X11" i="17" a="1"/>
  <c r="X11" i="17" s="1"/>
  <c r="Q11" i="29" a="1"/>
  <c r="Q11" i="29" s="1"/>
  <c r="L11" i="29" a="1"/>
  <c r="L11" i="29" s="1"/>
  <c r="X11" i="29" a="1"/>
  <c r="X11" i="29" s="1"/>
  <c r="N11" i="29" a="1"/>
  <c r="N11" i="29" s="1"/>
  <c r="V11" i="29" a="1"/>
  <c r="V11" i="29" s="1"/>
  <c r="R11" i="24" a="1"/>
  <c r="R11" i="24" s="1"/>
  <c r="N11" i="17" a="1"/>
  <c r="N11" i="17" s="1"/>
  <c r="R11" i="17" a="1"/>
  <c r="R11" i="17" s="1"/>
  <c r="V11" i="17" a="1"/>
  <c r="V11" i="17" s="1"/>
  <c r="Z11" i="17" a="1"/>
  <c r="Z11" i="17" s="1"/>
  <c r="M11" i="29" a="1"/>
  <c r="M11" i="29" s="1"/>
  <c r="P11" i="29" a="1"/>
  <c r="P11" i="29" s="1"/>
  <c r="O11" i="29" a="1"/>
  <c r="O11" i="29" s="1"/>
  <c r="W11" i="29" a="1"/>
  <c r="W11" i="29" s="1"/>
  <c r="K11" i="17" a="1"/>
  <c r="K11" i="17" s="1"/>
  <c r="O11" i="17" a="1"/>
  <c r="O11" i="17" s="1"/>
  <c r="S11" i="17" a="1"/>
  <c r="S11" i="17" s="1"/>
  <c r="W11" i="17" a="1"/>
  <c r="W11" i="17" s="1"/>
  <c r="AA11" i="17" a="1"/>
  <c r="AA11" i="17" s="1"/>
  <c r="W11" i="6" a="1"/>
  <c r="W11" i="6" s="1"/>
  <c r="R11" i="6" a="1"/>
  <c r="R11" i="6" s="1"/>
  <c r="W11" i="24" a="1"/>
  <c r="W11" i="24" s="1"/>
  <c r="X11" i="24" a="1"/>
  <c r="X11" i="24" s="1"/>
  <c r="Y11" i="24" a="1"/>
  <c r="Y11" i="24" s="1"/>
  <c r="K11" i="24" a="1"/>
  <c r="K11" i="24" s="1"/>
  <c r="AA11" i="24" a="1"/>
  <c r="AA11" i="24" s="1"/>
  <c r="L11" i="24" a="1"/>
  <c r="L11" i="24" s="1"/>
  <c r="M11" i="24" a="1"/>
  <c r="M11" i="24" s="1"/>
  <c r="Z11" i="24" a="1"/>
  <c r="Z11" i="24" s="1"/>
</calcChain>
</file>

<file path=xl/sharedStrings.xml><?xml version="1.0" encoding="utf-8"?>
<sst xmlns="http://schemas.openxmlformats.org/spreadsheetml/2006/main" count="1988" uniqueCount="208">
  <si>
    <t>Goal</t>
  </si>
  <si>
    <t>Metric</t>
  </si>
  <si>
    <t>Above</t>
  </si>
  <si>
    <t>Below</t>
  </si>
  <si>
    <t>Measured Rate 
[% Measured]</t>
  </si>
  <si>
    <t>Brand Safety 
[% Failed]</t>
  </si>
  <si>
    <t>Weight</t>
  </si>
  <si>
    <t>% Weight</t>
  </si>
  <si>
    <t>Power Rank</t>
  </si>
  <si>
    <t>Campaign</t>
  </si>
  <si>
    <t>N/A</t>
  </si>
  <si>
    <t>Measured Impressions</t>
  </si>
  <si>
    <t>Highlighting Thresholds</t>
  </si>
  <si>
    <t>Total Impressions</t>
  </si>
  <si>
    <t>Performance Roll-up</t>
  </si>
  <si>
    <t>Benchmarks</t>
  </si>
  <si>
    <t>Client Goals</t>
  </si>
  <si>
    <t>Campaign 2</t>
  </si>
  <si>
    <t>Campaign 3</t>
  </si>
  <si>
    <t>Blocking Status</t>
  </si>
  <si>
    <t>Team</t>
  </si>
  <si>
    <t>HIDE COLUMN</t>
  </si>
  <si>
    <t>Placement</t>
  </si>
  <si>
    <t>Brand Safety 
[% Passed]</t>
  </si>
  <si>
    <t>Brand Safety 
[% Failed by Content]</t>
  </si>
  <si>
    <t>Brand Safety 
[% Failed by Geo]</t>
  </si>
  <si>
    <t>Brand Safety 
[% Failed by Keyword]</t>
  </si>
  <si>
    <t>Brand Safety 
[% Failed by Blacklist]</t>
  </si>
  <si>
    <t>Fraud 
[% Fraud]</t>
  </si>
  <si>
    <t>Region</t>
  </si>
  <si>
    <t>USA</t>
  </si>
  <si>
    <t>Brand</t>
  </si>
  <si>
    <t>Brand 1</t>
  </si>
  <si>
    <t>Brand 2</t>
  </si>
  <si>
    <t>Brand 3</t>
  </si>
  <si>
    <t>Team 1</t>
  </si>
  <si>
    <t>A</t>
  </si>
  <si>
    <t>Creative Size</t>
  </si>
  <si>
    <t>Device Type</t>
  </si>
  <si>
    <t>B</t>
  </si>
  <si>
    <t>Team 2</t>
  </si>
  <si>
    <t>Team 3</t>
  </si>
  <si>
    <t>Spain</t>
  </si>
  <si>
    <t>England</t>
  </si>
  <si>
    <t>C</t>
  </si>
  <si>
    <t>D</t>
  </si>
  <si>
    <t>E</t>
  </si>
  <si>
    <t>F</t>
  </si>
  <si>
    <t>FY16_PS4_Always On Summer Connoisseurs</t>
  </si>
  <si>
    <t>Maps to Publisher &amp; Placement Tab</t>
  </si>
  <si>
    <t>Amazon com_8 10-8 31 Homepage ATF - Rectangle _300 x 250_SS_Display_Desktop Only_STANDARD_P4VM7R</t>
  </si>
  <si>
    <t>Amazon Ad Platform_8 10-8 31 Rectangle_300 x 250_SS_Display_Desktop Only_STANDARD_P4VM81</t>
  </si>
  <si>
    <t>Amazon Ad Platform_8 10-8 31 Leaderboard_728 x 90_SS_Display_Desktop Only_STANDARD_P4VM82</t>
  </si>
  <si>
    <t>Pandora AMNET PMP_Web 300x250 8 10-8 31_300 x 250_SS_Display_Desktop Only_STANDARD_P4WX3P</t>
  </si>
  <si>
    <t>Amnet Group_BTPS3 Owners  8 10-8 31_1 x 1_TP_Video Player LongShort Form_Desktop Only_VIDEO_P4WF2S</t>
  </si>
  <si>
    <t>CBSi Games AMNET PMP_RON Billboard  8 10-8 31_970 x 250 Expandable_SS_Display_Desktop Only_RM_P4WX2D</t>
  </si>
  <si>
    <t>Bleacher Report_8 10-8 31 Premium Sports ROS - DT Leaderboard_728 x 90_RM_Display_Desktop Only_STANDARD_P4VQS2</t>
  </si>
  <si>
    <t>Bleacher Report_8 10-8 31 Premium Sports ROS - DT Med Rec_300 x 250_RM_Display_Desktop Only_STANDARD_P4VQS5</t>
  </si>
  <si>
    <t>Amnet Group_CTPS3 Sites  8 10-8 31_1 x 1_TP_Video Player LongShort Form_Desktop Only_VIDEO_P4WF2X</t>
  </si>
  <si>
    <t>Amnet Group _CT-PS3 Owners/ PS3 Sites_8 9-8 31 _728 x 90  _TP _Display Standard _Desktop Only _STANDARD _P51W8S</t>
  </si>
  <si>
    <t>CBSi Games AMNET PMP_PlayStation or XBOX Targeted Super Leader  8 10-8 30_970 x 66 Expandable_SS_Display_Desktop Only_RM_P4WX21</t>
  </si>
  <si>
    <t>CBSi Games AMNET PMP_PlayStation or XBOX Targeted MPU  8 10-831_300 x 250_SS_Display_Desktop Only_STANDARD_P4WX22</t>
  </si>
  <si>
    <t>GameSTOP AMNET PMP_Leaderboard targeted to PS3 PS4 8 10-8 31_728 x 90_SS_Display_Desktop Only_STANDARD_P4WX2L</t>
  </si>
  <si>
    <t>Twitch AMNET PMP_Desktop Video August 8 10-8 31_640 x 480_SS_Display_Desktop Only_VIDEO_P4WX3S</t>
  </si>
  <si>
    <t>Amnet Group _CT-PS3 Owners/ PS3 Sites_8 9-8 31 _300 x 250  _TP _Display Standard _Desktop Only _STANDARD _P51W8Q</t>
  </si>
  <si>
    <t>IGN COM_8 25 Point of Entry RB - Med Rec_300 x 250 _TP_Display _Desktop Only_TAKEOVER_P5HP1Y</t>
  </si>
  <si>
    <t>IGN COM_8 25 Point of Entry RB - Header_970 x 250 _TP_Display _Desktop Only_TAKEOVER_P5HP1X</t>
  </si>
  <si>
    <t>CBSi Games AMNET PMP_PlayStation or XBOX Targeted Billboard  8 10-8 31_970 x 250 Expandable_SS_Display_Desktop Only_RM_P4WX26</t>
  </si>
  <si>
    <t>CBSi Games AMNET PMP_RON Super Leader  8 10-8 31_970 x 66 Expandable_SS_Display_Desktop Only_RM_P4WX31</t>
  </si>
  <si>
    <t>CBSi Games AMNET PMP_RON MPU  8 10-8 31_300 x 250_SS_Display_Desktop Only_STANDARD_P4WX2Z</t>
  </si>
  <si>
    <t>CBSi Games AMNET PMP_PlayStation or XBOX Targeted Half Page MPU  8 10-8 31_300 x 600_SS_Display_Multiple Devices_STANDARD_P4WX1W</t>
  </si>
  <si>
    <t>CBSi Games AMNET PMP_RON Half Page MPU  8 10-8 31_300 x 600_SS_Display_Desktop Only_STANDARD_P4WX2N</t>
  </si>
  <si>
    <t>Amnet Group_CTPS3 Owners PS3 Sites 6 23-8 31_728 x 90_TP_Display_Desktop Only_STANDARD_P4W1QZ</t>
  </si>
  <si>
    <t>Twitch_8 10-8 31 Synced Units DT Only - Leader_970 x 66_TP_Display_Desktop Only_STANDARD_P4VNC2</t>
  </si>
  <si>
    <t>Twitch_8 10-8 31 Synced Units DT Only - Med Rec_300 x 250_TP_Display_Desktop Only_STANDARD_P4VNC1</t>
  </si>
  <si>
    <t>CBSi Games AMNET PMP_PlayStation or XBOX Targeted Mobile  8 10-8 31_300 x 250_SS_Mobile Mobile Web_Mobile Only_MOBILE_P4WX1Y</t>
  </si>
  <si>
    <t>Amazon Ad Platform_8 10-8 31 Skyscraper_160 x 600_SS_Display_Desktop Only_STANDARD_P4VM83</t>
  </si>
  <si>
    <t>KARGO_8 10-8 31 Animated Interstitial Mobile Web_300 x 250_TP_Mobile Mobile Web_Mobile Only_MOBILE_P4VSMT</t>
  </si>
  <si>
    <t>Amazon Ad Platform_8 10-8 31 Half Page_300 x 600_SS_Display_Desktop Only_STANDARD_P4VM7Z</t>
  </si>
  <si>
    <t>GameStop_8 10-8 31 PS3 HPTO - Skin_1 x 1_SS_Page Skin_Desktop Only_TAKEOVER_P4VNC0</t>
  </si>
  <si>
    <t>Amnet Group _CT-PS3 Owners/XBOX 360 Dual Owners_8 9-8 31 _728 x 90  _TP _Display Standard _Desktop Only _STANDARD _P51W8X</t>
  </si>
  <si>
    <t>Amnet Group _CT-PS3 Owners/XBOX 360 Dual Owners_8 9-8 31 _300 x 250  _TP _Display Standard _Desktop Only _STANDARD _P51W8V</t>
  </si>
  <si>
    <t>GameStop_8 10-8 31 PS3 HPTO - Med Rec_300 x 250_RM_Takeover_Desktop Only_TAKEOVER_P4VNBZ</t>
  </si>
  <si>
    <t>IGN com_8 10-8 31 PS3Xbox360 Targeted Rotating RB - Med Rec_300 x 250_TP_Display_Desktop Only_TAKEOVER_P4VN9Z</t>
  </si>
  <si>
    <t>IGN com_8 10-8 31 PS3 Targeted Rotating RB - Med Rec_300 x 250_TP_Display_Desktop Only_TAKEOVER_P4VN9X</t>
  </si>
  <si>
    <t>GameStop_8 10-8 31 PS3 HPTO - Blade_970 x 66 Pushdown_RM_Takeover_Desktop Only_TAKEOVER_P4VNBY</t>
  </si>
  <si>
    <t>IGN COM_8 30 Point of Entry RB - Med Rec_300 x 250 _TP_Display _Desktop Only_TAKEOVER_P5HP3Z</t>
  </si>
  <si>
    <t>IGN COM_8 30 Point of Entry RB - Header_970 x 250 _TP_Display _Desktop Only_TAKEOVER_P5HP3Y</t>
  </si>
  <si>
    <t>IGN com_8 10-8 31 PS3Xbox360 Targeted Rotating RB - Header_970 x 250 Pushdown_TP_Display_Desktop Only_TAKEOVER_P4VN9Y</t>
  </si>
  <si>
    <t>IGN com_8 10-8 31 PS3 Targeted Rotating RB - Header_970 x 250 Pushdown_TP_Display_Desktop Only_TAKEOVER_P4VN9W</t>
  </si>
  <si>
    <t>Amnet Group_CTPS3 Owners PS3 Sites 6 23-8 31_300 x 250_TP_Display_Desktop Only_STANDARD_P4W1QT</t>
  </si>
  <si>
    <t>Amnet Group _CT-PS3 Owners/ PS3 Sites_8 9-8 31 _160 x 600  _TP _Display Standard _Desktop Only _STANDARD _P51W8P</t>
  </si>
  <si>
    <t>GameSpotFAQs_8 18 Mobile Takeover - Med Rec_300 x 250_SS_Mobile Mobile Web_Mobile Only_TAKEOVER_P4VN7N</t>
  </si>
  <si>
    <t>CBSi Games AMNET PMP_Mobile MPU 8 10-8 30_300 x 250_SS_Mobile Mobile Web_Mobile Only_MOBILE_P4WX24</t>
  </si>
  <si>
    <t>Amnet Group _CT-PS3 Owners/ PS3 Sites_8 9-8 31 _300 x 600  _TP _Display Standard _Desktop Only _STANDARD _P51W8R</t>
  </si>
  <si>
    <t>CBSi Games_8 10-8 31 PS3 and X360 Targeted - Med Rec_300 x 250_TP_Display_Desktop Only_STANDARD_P4VN7H</t>
  </si>
  <si>
    <t>CBSi Games_8 10-8 31 PS3 and X360 Targeted - Super Leader_970 x 66 Pushdown_TP_Display_Desktop Only_RM_P4VN7G</t>
  </si>
  <si>
    <t>Amnet Group_CTPS3 OwnersXBOX 360 Dual Owners 6 23-8 31_728 x 90_TP_Display_Desktop Only_STANDARD_P4W1QV</t>
  </si>
  <si>
    <t>Amnet Group_CTPS3 OwnersXBOX 360 Dual Owners 6 23-8 31_300 x 250_TP_Display_Desktop Only_STANDARD_P4W1R2</t>
  </si>
  <si>
    <t>Amnet Group_CTPS3 Owners PS3 Sites 6 23-8 31_160 x 600_TP_Display_Desktop Only_STANDARD_P4W1R0</t>
  </si>
  <si>
    <t>Amnet Group_RTLanding Page  8 10-8 31_1 x 1_TP_Video Player LongShort Form_Desktop Only_VIDEO_P4WF2V</t>
  </si>
  <si>
    <t>IGN COM_8 24 PS Channel Fixed RB - Billboard_970 x 250 _TP_Display _Desktop Only_TAKEOVER_P5HWJN</t>
  </si>
  <si>
    <t>IGN COM_8 24 PS Channel Fixed RB - Med Rec_300 x 250 _TP_Display _Desktop Only_TAKEOVER_P5HWJP</t>
  </si>
  <si>
    <t>GameStop_8 14 HPTO - Skin_1 x 1_SS_Page Skin_Desktop Only_TAKEOVER_P4VNBQ</t>
  </si>
  <si>
    <t>GameStop_8 14 HPTO - Med Rec_300 x 250_RM_Takeover_Desktop Only_TAKEOVER_P4VNBN</t>
  </si>
  <si>
    <t>GameStop_8 14 HPTO - Blade_970 x 66 Pushdown_RM_Takeover_Desktop Only_TAKEOVER_P4VNBP</t>
  </si>
  <si>
    <t>Pandora_8 10-8 31 Web APV Segment Targeting - 30s Video_1 x 1_SS_Video Player LongShort Form_Desktop Only_VIDEO_P4VN5P</t>
  </si>
  <si>
    <t>Pandora_8 10-8 31 Web APV Segment Targeting - Companion Banner_300 x 250_TP_Companion Ad_Desktop Only_VIDEO_P4VN5N</t>
  </si>
  <si>
    <t>Amnet Group_CTPS3 Owners PS3 Sites 6 23-8 31_300 x 600_TP_Display_Desktop Only_STANDARD_P4W1QS</t>
  </si>
  <si>
    <t>Amnet Group _CT-PS3 Owners/XBOX 360 Dual Owners_8 9-8 31 _160 x 600  _TP _Display Standard _Desktop Only _STANDARD _P51W8T</t>
  </si>
  <si>
    <t>Bleacher Report_8 10-8 31 30s Pre-Roll - AV Companion_300 x 250_RM_Display_Desktop Only_VIDEO_P4VQS6</t>
  </si>
  <si>
    <t>Bleacher Report_8 10-8 31 30s Pre-Roll - Video_1 x 1_SS_Display_Desktop Only_VIDEO_P4VQS8</t>
  </si>
  <si>
    <t>IGN com_8 10-8 31 PS3 Targeted DT Only - Pre-Roll Video_1 x 1_VAST_Display_Desktop Only_VIDEO_P4VN95</t>
  </si>
  <si>
    <t>IGN com_8 10-8 31 PS3 Targeted DT Only - Pre-Roll Companion_300 x 250_VAST_Display_Desktop Only_VIDEO_P4VN91</t>
  </si>
  <si>
    <t>Amnet Group _CT-PS3 Owners/XBOX 360 Dual Owners_8 9-8 31 _300 x 600  _TP _Display Standard _Desktop Only _STANDARD _P51W8W</t>
  </si>
  <si>
    <t>Amnet Group _RT-Connoisseurs Landing Page_8 9-8 31 _728 x 90  _TP _Display Standard _Desktop Only _STANDARD _P51W93</t>
  </si>
  <si>
    <t>GameSpotFAQs_8 25 PS Targeted Takeover - Super Leader_970 x 66 Pushdown_TP_Takeover_Desktop Only_TAKEOVER_P4VN7Z</t>
  </si>
  <si>
    <t>GameSpotFAQs_8 25 PS Targeted Takeover - MPU_300 x 250_TP_Takeover_Desktop Only_TAKEOVER_P4VN80</t>
  </si>
  <si>
    <t>GAMESPOTFAQS_8 27 PS Targeted Takeover - MPU_300 x 250 _TP_Takeover_Desktop Only_TAKEOVER_P5HPQ8</t>
  </si>
  <si>
    <t>GAMESPOTFAQS_8 27 PS Targeted Takeover - Skin_1 x 1 _SS_Takeover_Desktop Only_TAKEOVER_P5HPQ9</t>
  </si>
  <si>
    <t>GAMESPOTFAQS_8 27 PS Targeted Takeover - Super Leader_970 x 66 _TP_Takeover_Desktop Only_TAKEOVER_P5HPQB</t>
  </si>
  <si>
    <t>GameSpotFAQs_8 10 PS Targeted Takeover - MPU_300 x 250_TP_Takeover_Desktop Only_TAKEOVER_P4VN7W</t>
  </si>
  <si>
    <t>GameSpotFAQs_8 10 PS Targeted Takeover - Super Leader_970 x 66 Pushdown_TP_Takeover_Desktop Only_TAKEOVER_P4VN7X</t>
  </si>
  <si>
    <t>sdfasd</t>
  </si>
  <si>
    <t>Mixed</t>
  </si>
  <si>
    <t>Maps to Campaign &amp; Publisher Tab</t>
  </si>
  <si>
    <t>Desktop - Display</t>
  </si>
  <si>
    <t>Phone - Browser - Display</t>
  </si>
  <si>
    <t>Tablet - Browser - Display</t>
  </si>
  <si>
    <t>Tablet - App - Display</t>
  </si>
  <si>
    <t>Overall</t>
  </si>
  <si>
    <t>Device Type Dropdown</t>
  </si>
  <si>
    <t>Benchmark</t>
  </si>
  <si>
    <t>Category</t>
  </si>
  <si>
    <t>Desktop - Video</t>
  </si>
  <si>
    <t>Phone - Browser - Video</t>
  </si>
  <si>
    <t>Phone - App - Display</t>
  </si>
  <si>
    <t>Phone - App - Video</t>
  </si>
  <si>
    <t>Tablet - Browser - Video</t>
  </si>
  <si>
    <t>Tablet - App - Video</t>
  </si>
  <si>
    <t>[Enter Brand Dropdown]</t>
  </si>
  <si>
    <t>Partner</t>
  </si>
  <si>
    <t>Partner 1</t>
  </si>
  <si>
    <t>Partner 2</t>
  </si>
  <si>
    <t>Partner 3</t>
  </si>
  <si>
    <t>Placement 1</t>
  </si>
  <si>
    <t>Partner Type</t>
  </si>
  <si>
    <t>Campaign-level Mapping</t>
  </si>
  <si>
    <t>Team-level Mapping</t>
  </si>
  <si>
    <t>Direct</t>
  </si>
  <si>
    <t>Programmatic</t>
  </si>
  <si>
    <t>Region (Team)</t>
  </si>
  <si>
    <t>NO MAPPING</t>
  </si>
  <si>
    <t>Campaign 1</t>
  </si>
  <si>
    <t>YYYY-MM</t>
  </si>
  <si>
    <t>[TEAM NAME]</t>
  </si>
  <si>
    <t>Brand Safety 
[% Failed by Language]</t>
  </si>
  <si>
    <t>Viewability 
[Total Viewable Rate (Total Net Metrics)]</t>
  </si>
  <si>
    <t>Display Viewability 
[Total Viewable Rate (Total Net Metrics)]</t>
  </si>
  <si>
    <t>Video Viewability 
[Total Viewable Rate (Total Net Metrics)]</t>
  </si>
  <si>
    <t>GroupM Viewability 
[% Display Ads Fully in View]</t>
  </si>
  <si>
    <t>GroupM Viewability 
[% Videos Fully in View]</t>
  </si>
  <si>
    <t>See-Through Rate 
[% Visible]</t>
  </si>
  <si>
    <t>Publicis Viewability 
[% Display Ads Fully in View]</t>
  </si>
  <si>
    <t>Publicis Viewability 
[% Videos Fully in View]</t>
  </si>
  <si>
    <t>Lavidge_AAA</t>
  </si>
  <si>
    <t>AAA - NCNU - 2017</t>
  </si>
  <si>
    <t>Blocking</t>
  </si>
  <si>
    <t>NULL</t>
  </si>
  <si>
    <t>Lavidge_APS</t>
  </si>
  <si>
    <t>APS - Rate Review</t>
  </si>
  <si>
    <t>Lavidge_Cable ONE</t>
  </si>
  <si>
    <t>2017 Interactive Media - Acquisition</t>
  </si>
  <si>
    <t>AAA of Arizona - 2017 - GCM</t>
  </si>
  <si>
    <t>Lavidge_McDonalds</t>
  </si>
  <si>
    <t>HCM ROD English - 2017</t>
  </si>
  <si>
    <t>Lavidge_ASU</t>
  </si>
  <si>
    <t>ASU WP MBA_FY16-17</t>
  </si>
  <si>
    <t>HCM ROD Spanish - 2017</t>
  </si>
  <si>
    <t>Lavidge_Sonora Quest</t>
  </si>
  <si>
    <t>My Lab ReQuest - 2017</t>
  </si>
  <si>
    <t>GCM ROD - 2017</t>
  </si>
  <si>
    <t>GCM BFAST - 2017</t>
  </si>
  <si>
    <t>APS - SHARE</t>
  </si>
  <si>
    <t>HCM BFAST - 2017</t>
  </si>
  <si>
    <t>AAA of Arizona - 2017 - HCM</t>
  </si>
  <si>
    <t>ASU WP SM_FY16-17</t>
  </si>
  <si>
    <t>ASU_TBird_FY16-17</t>
  </si>
  <si>
    <t>HCM BEV - 2017</t>
  </si>
  <si>
    <t>ASU Sun Devil Rewards App_FY17-18</t>
  </si>
  <si>
    <t>GCM BEV - 2017</t>
  </si>
  <si>
    <t>APS - Influencer Campaign</t>
  </si>
  <si>
    <t>ASU Shock and Awe_FY17-18</t>
  </si>
  <si>
    <t>ASU WP UG_FY16-17</t>
  </si>
  <si>
    <t>ASU WPC_Draper U</t>
  </si>
  <si>
    <t>ASU MLFTC_FY16-17</t>
  </si>
  <si>
    <t>APS - Corporate</t>
  </si>
  <si>
    <t>ASU BHC_FY16-17</t>
  </si>
  <si>
    <t>ASU OOP Affordability_FY17-18</t>
  </si>
  <si>
    <t>ASU_SFIS_FY16-17</t>
  </si>
  <si>
    <t>Whirlygig - PROSP</t>
  </si>
  <si>
    <t>Whirlygig - MOB</t>
  </si>
  <si>
    <t>Whirlygig - RET</t>
  </si>
  <si>
    <t>Whirlygig - MOB RET</t>
  </si>
  <si>
    <t>Poets and Quants</t>
  </si>
  <si>
    <t>Monitoring</t>
  </si>
  <si>
    <t>Phoenix Business Journal</t>
  </si>
  <si>
    <t>US News and Wold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</si>
</sst>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8"/>
      <color theme="3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22"/>
      <color theme="3"/>
      <name val="Tahoma"/>
      <family val="2"/>
    </font>
    <font>
      <b/>
      <sz val="12.5"/>
      <color theme="0"/>
      <name val="Tahoma"/>
      <family val="2"/>
    </font>
    <font>
      <b/>
      <sz val="10"/>
      <color rgb="FFFFFF00"/>
      <name val="Tahoma"/>
      <family val="2"/>
    </font>
    <font>
      <b/>
      <sz val="10"/>
      <color theme="0"/>
      <name val="Tahoma"/>
      <family val="2"/>
    </font>
    <font>
      <sz val="10"/>
      <name val="Tahoma"/>
      <family val="2"/>
    </font>
    <font>
      <b/>
      <sz val="10"/>
      <color theme="3"/>
      <name val="Tahoma"/>
      <family val="2"/>
    </font>
    <font>
      <b/>
      <i/>
      <sz val="10"/>
      <color theme="0"/>
      <name val="Tahoma"/>
      <family val="2"/>
    </font>
    <font>
      <b/>
      <sz val="10"/>
      <color indexed="9"/>
      <name val="Tahoma"/>
      <family val="2"/>
    </font>
    <font>
      <sz val="10"/>
      <color theme="3"/>
      <name val="Tahoma"/>
      <family val="2"/>
    </font>
    <font>
      <b/>
      <sz val="10"/>
      <name val="Tahoma"/>
      <family val="2"/>
    </font>
    <font>
      <b/>
      <sz val="10"/>
      <color indexed="56"/>
      <name val="Tahoma"/>
      <family val="2"/>
    </font>
    <font>
      <b/>
      <sz val="10"/>
      <color theme="1" tint="0.34998626667073579"/>
      <name val="Tahoma"/>
      <family val="2"/>
    </font>
    <font>
      <sz val="10"/>
      <color indexed="56"/>
      <name val="Tahoma"/>
      <family val="2"/>
    </font>
    <font>
      <sz val="10"/>
      <color theme="1"/>
      <name val="Tahoma"/>
      <family val="2"/>
    </font>
    <font>
      <b/>
      <sz val="10"/>
      <color rgb="FFFFFF00"/>
      <name val="Tahoma"/>
      <family val="2"/>
    </font>
    <font>
      <b/>
      <sz val="10"/>
      <color theme="0"/>
      <name val="Tahoma"/>
      <family val="2"/>
    </font>
    <font>
      <sz val="10"/>
      <name val="Tahoma"/>
      <family val="2"/>
    </font>
    <font>
      <b/>
      <sz val="18"/>
      <color theme="3"/>
      <name val="Tahoma"/>
      <family val="2"/>
    </font>
    <font>
      <b/>
      <sz val="10"/>
      <color theme="3"/>
      <name val="Tahoma"/>
      <family val="2"/>
    </font>
    <font>
      <b/>
      <i/>
      <sz val="10"/>
      <color theme="0"/>
      <name val="Tahoma"/>
      <family val="2"/>
    </font>
    <font>
      <b/>
      <sz val="10"/>
      <color indexed="9"/>
      <name val="Tahoma"/>
      <family val="2"/>
    </font>
    <font>
      <sz val="10"/>
      <color theme="3"/>
      <name val="Tahoma"/>
      <family val="2"/>
    </font>
    <font>
      <b/>
      <sz val="10"/>
      <color theme="1"/>
      <name val="Tahoma"/>
      <family val="2"/>
    </font>
    <font>
      <b/>
      <sz val="10"/>
      <name val="Tahoma"/>
      <family val="2"/>
    </font>
    <font>
      <b/>
      <sz val="10"/>
      <color theme="1"/>
      <name val="Tahoma"/>
    </font>
    <font>
      <b/>
      <sz val="10"/>
      <name val="Tahoma"/>
    </font>
    <font>
      <sz val="10"/>
      <name val="Tahoma"/>
    </font>
    <font>
      <sz val="10"/>
      <color theme="1"/>
      <name val="Tahoma"/>
    </font>
    <font>
      <sz val="10"/>
      <color rgb="FF000000"/>
      <name val="Tahoma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AF5C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4555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auto="1"/>
      </left>
      <right style="medium">
        <color auto="1"/>
      </right>
      <top style="thin">
        <color theme="0" tint="-0.1499679555650502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1">
    <xf numFmtId="0" fontId="0" fillId="0" borderId="0" xfId="0"/>
    <xf numFmtId="0" fontId="0" fillId="0" borderId="0" xfId="0" applyBorder="1"/>
    <xf numFmtId="0" fontId="3" fillId="0" borderId="0" xfId="0" applyFont="1" applyBorder="1"/>
    <xf numFmtId="0" fontId="7" fillId="0" borderId="0" xfId="0" applyFont="1" applyBorder="1"/>
    <xf numFmtId="0" fontId="6" fillId="0" borderId="0" xfId="0" applyFont="1" applyBorder="1"/>
    <xf numFmtId="0" fontId="0" fillId="0" borderId="0" xfId="0" applyFont="1" applyBorder="1"/>
    <xf numFmtId="0" fontId="8" fillId="3" borderId="0" xfId="0" applyFont="1" applyFill="1"/>
    <xf numFmtId="0" fontId="11" fillId="0" borderId="0" xfId="0" applyFont="1" applyFill="1" applyAlignment="1">
      <alignment horizontal="left" vertical="center" wrapText="1"/>
    </xf>
    <xf numFmtId="10" fontId="11" fillId="0" borderId="0" xfId="2" applyNumberFormat="1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11" fillId="3" borderId="0" xfId="0" applyFont="1" applyFill="1" applyProtection="1">
      <protection locked="0"/>
    </xf>
    <xf numFmtId="0" fontId="11" fillId="3" borderId="0" xfId="0" applyFont="1" applyFill="1" applyAlignment="1" applyProtection="1">
      <protection locked="0"/>
    </xf>
    <xf numFmtId="0" fontId="11" fillId="4" borderId="0" xfId="0" applyFont="1" applyFill="1" applyAlignment="1" applyProtection="1">
      <protection locked="0"/>
    </xf>
    <xf numFmtId="0" fontId="14" fillId="4" borderId="0" xfId="0" applyFont="1" applyFill="1" applyAlignment="1" applyProtection="1">
      <alignment horizontal="center" vertical="center" wrapText="1"/>
      <protection locked="0"/>
    </xf>
    <xf numFmtId="0" fontId="11" fillId="3" borderId="0" xfId="0" applyFont="1" applyFill="1" applyAlignment="1" applyProtection="1">
      <alignment horizontal="right"/>
      <protection locked="0"/>
    </xf>
    <xf numFmtId="1" fontId="11" fillId="3" borderId="0" xfId="0" applyNumberFormat="1" applyFont="1" applyFill="1" applyProtection="1">
      <protection locked="0"/>
    </xf>
    <xf numFmtId="0" fontId="14" fillId="4" borderId="0" xfId="0" applyFont="1" applyFill="1" applyAlignment="1" applyProtection="1">
      <alignment vertical="center"/>
      <protection locked="0"/>
    </xf>
    <xf numFmtId="0" fontId="15" fillId="10" borderId="6" xfId="0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Alignment="1" applyProtection="1">
      <alignment vertical="center"/>
      <protection locked="0"/>
    </xf>
    <xf numFmtId="9" fontId="16" fillId="5" borderId="7" xfId="3" applyNumberFormat="1" applyFont="1" applyFill="1" applyBorder="1" applyAlignment="1" applyProtection="1">
      <alignment horizontal="center"/>
      <protection locked="0"/>
    </xf>
    <xf numFmtId="0" fontId="11" fillId="3" borderId="0" xfId="0" applyFont="1" applyFill="1" applyBorder="1" applyProtection="1">
      <protection locked="0"/>
    </xf>
    <xf numFmtId="9" fontId="11" fillId="3" borderId="0" xfId="0" applyNumberFormat="1" applyFont="1" applyFill="1" applyBorder="1" applyProtection="1">
      <protection locked="0"/>
    </xf>
    <xf numFmtId="0" fontId="11" fillId="3" borderId="0" xfId="0" applyFont="1" applyFill="1" applyBorder="1" applyAlignment="1" applyProtection="1">
      <alignment vertical="center"/>
      <protection locked="0"/>
    </xf>
    <xf numFmtId="0" fontId="17" fillId="4" borderId="10" xfId="0" applyFont="1" applyFill="1" applyBorder="1" applyAlignment="1" applyProtection="1">
      <alignment vertical="center"/>
      <protection locked="0"/>
    </xf>
    <xf numFmtId="0" fontId="15" fillId="0" borderId="6" xfId="0" applyFont="1" applyFill="1" applyBorder="1" applyAlignment="1" applyProtection="1">
      <alignment horizontal="center" vertical="center" wrapText="1"/>
      <protection locked="0"/>
    </xf>
    <xf numFmtId="0" fontId="15" fillId="0" borderId="1" xfId="0" applyFont="1" applyFill="1" applyBorder="1" applyAlignment="1" applyProtection="1">
      <alignment horizontal="center" vertical="center" wrapText="1"/>
      <protection locked="0"/>
    </xf>
    <xf numFmtId="1" fontId="11" fillId="3" borderId="0" xfId="0" applyNumberFormat="1" applyFont="1" applyFill="1" applyAlignment="1" applyProtection="1">
      <alignment vertical="center"/>
      <protection locked="0"/>
    </xf>
    <xf numFmtId="0" fontId="14" fillId="4" borderId="0" xfId="0" applyFont="1" applyFill="1" applyBorder="1" applyAlignment="1" applyProtection="1">
      <alignment vertical="center"/>
      <protection locked="0"/>
    </xf>
    <xf numFmtId="0" fontId="17" fillId="4" borderId="0" xfId="0" applyFont="1" applyFill="1" applyBorder="1" applyAlignment="1" applyProtection="1">
      <alignment vertical="center"/>
      <protection locked="0"/>
    </xf>
    <xf numFmtId="0" fontId="11" fillId="0" borderId="1" xfId="0" applyFont="1" applyFill="1" applyBorder="1" applyAlignment="1" applyProtection="1">
      <alignment horizontal="center" vertical="center"/>
      <protection locked="0"/>
    </xf>
    <xf numFmtId="10" fontId="11" fillId="0" borderId="1" xfId="0" applyNumberFormat="1" applyFont="1" applyFill="1" applyBorder="1" applyAlignment="1" applyProtection="1">
      <alignment horizontal="center" vertical="center"/>
      <protection locked="0"/>
    </xf>
    <xf numFmtId="1" fontId="11" fillId="0" borderId="0" xfId="2" applyNumberFormat="1" applyFont="1" applyFill="1" applyBorder="1" applyAlignment="1" applyProtection="1">
      <alignment horizontal="center" vertical="center"/>
      <protection locked="0"/>
    </xf>
    <xf numFmtId="10" fontId="11" fillId="0" borderId="0" xfId="2" applyNumberFormat="1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 applyAlignment="1" applyProtection="1">
      <alignment horizontal="center" vertical="center"/>
      <protection locked="0"/>
    </xf>
    <xf numFmtId="0" fontId="17" fillId="3" borderId="3" xfId="0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vertical="center"/>
      <protection locked="0"/>
    </xf>
    <xf numFmtId="0" fontId="11" fillId="4" borderId="0" xfId="0" applyFont="1" applyFill="1" applyBorder="1" applyAlignment="1" applyProtection="1">
      <alignment vertical="center"/>
      <protection locked="0"/>
    </xf>
    <xf numFmtId="0" fontId="11" fillId="3" borderId="0" xfId="0" applyFont="1" applyFill="1" applyAlignment="1" applyProtection="1">
      <alignment horizontal="center" vertical="center"/>
      <protection locked="0"/>
    </xf>
    <xf numFmtId="0" fontId="11" fillId="3" borderId="0" xfId="0" applyFont="1" applyFill="1" applyBorder="1" applyAlignment="1" applyProtection="1">
      <alignment horizontal="center" vertical="center"/>
      <protection locked="0"/>
    </xf>
    <xf numFmtId="0" fontId="15" fillId="0" borderId="0" xfId="0" applyFont="1" applyFill="1" applyBorder="1" applyAlignment="1" applyProtection="1">
      <alignment horizontal="center" vertical="center" wrapText="1"/>
      <protection locked="0"/>
    </xf>
    <xf numFmtId="0" fontId="15" fillId="0" borderId="0" xfId="0" applyFont="1" applyFill="1" applyBorder="1" applyAlignment="1" applyProtection="1">
      <alignment horizontal="center" vertical="center"/>
      <protection locked="0"/>
    </xf>
    <xf numFmtId="0" fontId="15" fillId="0" borderId="4" xfId="0" applyFont="1" applyFill="1" applyBorder="1" applyAlignment="1" applyProtection="1">
      <alignment horizontal="center" vertical="center"/>
      <protection locked="0"/>
    </xf>
    <xf numFmtId="0" fontId="15" fillId="0" borderId="4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Fill="1" applyBorder="1" applyAlignment="1" applyProtection="1">
      <alignment horizontal="center" vertical="center"/>
      <protection locked="0"/>
    </xf>
    <xf numFmtId="0" fontId="10" fillId="0" borderId="0" xfId="0" quotePrefix="1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Fill="1" applyBorder="1" applyAlignment="1" applyProtection="1">
      <alignment horizontal="left" vertical="center"/>
      <protection locked="0"/>
    </xf>
    <xf numFmtId="0" fontId="10" fillId="0" borderId="0" xfId="0" applyFont="1" applyFill="1" applyBorder="1" applyAlignment="1" applyProtection="1">
      <alignment vertical="center"/>
      <protection locked="0"/>
    </xf>
    <xf numFmtId="164" fontId="11" fillId="0" borderId="0" xfId="1" applyNumberFormat="1" applyFont="1" applyFill="1" applyBorder="1" applyAlignment="1" applyProtection="1">
      <alignment vertical="center"/>
      <protection locked="0"/>
    </xf>
    <xf numFmtId="3" fontId="11" fillId="0" borderId="0" xfId="0" applyNumberFormat="1" applyFont="1" applyFill="1" applyBorder="1" applyAlignment="1" applyProtection="1">
      <alignment vertical="center"/>
      <protection locked="0"/>
    </xf>
    <xf numFmtId="10" fontId="11" fillId="0" borderId="0" xfId="2" applyNumberFormat="1" applyFont="1" applyFill="1" applyBorder="1" applyAlignment="1" applyProtection="1">
      <alignment horizontal="right" vertical="center"/>
      <protection locked="0"/>
    </xf>
    <xf numFmtId="0" fontId="10" fillId="3" borderId="0" xfId="0" applyFont="1" applyFill="1" applyAlignment="1" applyProtection="1">
      <protection locked="0"/>
    </xf>
    <xf numFmtId="0" fontId="21" fillId="3" borderId="0" xfId="0" applyFont="1" applyFill="1" applyAlignment="1" applyProtection="1">
      <protection locked="0"/>
    </xf>
    <xf numFmtId="0" fontId="11" fillId="3" borderId="0" xfId="0" applyFont="1" applyFill="1"/>
    <xf numFmtId="0" fontId="20" fillId="4" borderId="0" xfId="0" applyFont="1" applyFill="1" applyAlignment="1">
      <alignment vertical="center"/>
    </xf>
    <xf numFmtId="0" fontId="17" fillId="11" borderId="11" xfId="0" applyFont="1" applyFill="1" applyBorder="1" applyAlignment="1" applyProtection="1">
      <alignment horizontal="center" vertical="center" wrapText="1"/>
      <protection locked="0"/>
    </xf>
    <xf numFmtId="0" fontId="11" fillId="3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20" fillId="0" borderId="0" xfId="0" applyFont="1" applyBorder="1" applyAlignment="1">
      <alignment vertical="center"/>
    </xf>
    <xf numFmtId="0" fontId="20" fillId="3" borderId="3" xfId="0" applyFont="1" applyFill="1" applyBorder="1" applyAlignment="1">
      <alignment vertical="center"/>
    </xf>
    <xf numFmtId="0" fontId="20" fillId="6" borderId="0" xfId="0" applyFont="1" applyFill="1" applyBorder="1" applyAlignment="1">
      <alignment vertical="center"/>
    </xf>
    <xf numFmtId="0" fontId="20" fillId="4" borderId="0" xfId="0" applyFont="1" applyFill="1" applyBorder="1" applyAlignment="1">
      <alignment vertical="center"/>
    </xf>
    <xf numFmtId="9" fontId="11" fillId="0" borderId="0" xfId="2" applyFont="1" applyFill="1" applyBorder="1" applyAlignment="1" applyProtection="1">
      <alignment horizontal="center" vertical="center"/>
      <protection locked="0"/>
    </xf>
    <xf numFmtId="9" fontId="11" fillId="0" borderId="0" xfId="2" applyNumberFormat="1" applyFont="1" applyFill="1" applyBorder="1" applyAlignment="1" applyProtection="1">
      <alignment horizontal="center" vertical="center"/>
      <protection locked="0"/>
    </xf>
    <xf numFmtId="0" fontId="20" fillId="3" borderId="0" xfId="0" applyFont="1" applyFill="1" applyBorder="1" applyAlignment="1">
      <alignment vertical="center"/>
    </xf>
    <xf numFmtId="0" fontId="11" fillId="4" borderId="0" xfId="0" applyFont="1" applyFill="1" applyAlignment="1">
      <alignment vertical="center"/>
    </xf>
    <xf numFmtId="0" fontId="20" fillId="4" borderId="0" xfId="0" applyFont="1" applyFill="1" applyAlignment="1" applyProtection="1">
      <alignment vertical="center"/>
      <protection locked="0"/>
    </xf>
    <xf numFmtId="17" fontId="17" fillId="4" borderId="0" xfId="0" applyNumberFormat="1" applyFont="1" applyFill="1" applyBorder="1" applyAlignment="1" applyProtection="1">
      <alignment vertical="center"/>
      <protection locked="0"/>
    </xf>
    <xf numFmtId="17" fontId="23" fillId="3" borderId="0" xfId="0" applyNumberFormat="1" applyFont="1" applyFill="1" applyBorder="1" applyAlignment="1" applyProtection="1">
      <alignment vertical="center"/>
      <protection locked="0"/>
    </xf>
    <xf numFmtId="17" fontId="17" fillId="3" borderId="0" xfId="0" applyNumberFormat="1" applyFont="1" applyFill="1" applyBorder="1" applyAlignment="1" applyProtection="1">
      <alignment vertical="center"/>
      <protection locked="0"/>
    </xf>
    <xf numFmtId="0" fontId="17" fillId="4" borderId="0" xfId="0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 applyAlignment="1" applyProtection="1">
      <alignment vertical="center"/>
      <protection locked="0"/>
    </xf>
    <xf numFmtId="17" fontId="23" fillId="4" borderId="0" xfId="0" applyNumberFormat="1" applyFont="1" applyFill="1" applyBorder="1" applyAlignment="1" applyProtection="1">
      <alignment vertical="center"/>
      <protection locked="0"/>
    </xf>
    <xf numFmtId="0" fontId="14" fillId="4" borderId="0" xfId="0" applyFont="1" applyFill="1" applyBorder="1" applyAlignment="1" applyProtection="1">
      <alignment horizontal="center" vertical="center" wrapText="1"/>
      <protection locked="0"/>
    </xf>
    <xf numFmtId="0" fontId="11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1" fillId="0" borderId="0" xfId="0" applyFont="1" applyFill="1" applyAlignment="1" applyProtection="1">
      <alignment vertical="center"/>
      <protection locked="0"/>
    </xf>
    <xf numFmtId="0" fontId="9" fillId="3" borderId="0" xfId="0" applyFont="1" applyFill="1" applyBorder="1" applyAlignment="1" applyProtection="1">
      <alignment vertical="center"/>
      <protection locked="0"/>
    </xf>
    <xf numFmtId="9" fontId="16" fillId="12" borderId="8" xfId="2" applyNumberFormat="1" applyFont="1" applyFill="1" applyBorder="1" applyAlignment="1" applyProtection="1">
      <alignment horizontal="center" vertical="center" wrapText="1"/>
      <protection locked="0"/>
    </xf>
    <xf numFmtId="17" fontId="17" fillId="3" borderId="0" xfId="0" applyNumberFormat="1" applyFont="1" applyFill="1" applyBorder="1" applyAlignment="1" applyProtection="1">
      <alignment horizontal="center" vertical="center"/>
      <protection locked="0"/>
    </xf>
    <xf numFmtId="0" fontId="9" fillId="3" borderId="0" xfId="0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 applyAlignment="1" applyProtection="1">
      <alignment horizontal="center" vertical="center"/>
      <protection locked="0"/>
    </xf>
    <xf numFmtId="0" fontId="17" fillId="4" borderId="0" xfId="0" applyFont="1" applyFill="1" applyBorder="1" applyAlignment="1" applyProtection="1">
      <alignment horizontal="center" vertical="center"/>
      <protection locked="0"/>
    </xf>
    <xf numFmtId="17" fontId="23" fillId="3" borderId="0" xfId="0" applyNumberFormat="1" applyFont="1" applyFill="1" applyBorder="1" applyAlignment="1" applyProtection="1">
      <alignment horizontal="center" vertical="center"/>
      <protection locked="0"/>
    </xf>
    <xf numFmtId="0" fontId="15" fillId="0" borderId="11" xfId="0" applyFont="1" applyFill="1" applyBorder="1" applyAlignment="1" applyProtection="1">
      <alignment horizontal="center" vertical="center"/>
      <protection locked="0"/>
    </xf>
    <xf numFmtId="0" fontId="15" fillId="0" borderId="1" xfId="0" applyFont="1" applyFill="1" applyBorder="1" applyAlignment="1" applyProtection="1">
      <alignment horizontal="center" vertical="center"/>
      <protection locked="0"/>
    </xf>
    <xf numFmtId="0" fontId="10" fillId="0" borderId="14" xfId="0" applyFont="1" applyFill="1" applyBorder="1" applyAlignment="1" applyProtection="1">
      <alignment vertical="center"/>
      <protection locked="0"/>
    </xf>
    <xf numFmtId="164" fontId="11" fillId="0" borderId="14" xfId="1" applyNumberFormat="1" applyFont="1" applyFill="1" applyBorder="1" applyAlignment="1" applyProtection="1">
      <alignment vertical="center"/>
      <protection locked="0"/>
    </xf>
    <xf numFmtId="3" fontId="11" fillId="0" borderId="14" xfId="0" applyNumberFormat="1" applyFont="1" applyFill="1" applyBorder="1" applyAlignment="1" applyProtection="1">
      <alignment vertical="center"/>
      <protection locked="0"/>
    </xf>
    <xf numFmtId="10" fontId="11" fillId="0" borderId="14" xfId="2" applyNumberFormat="1" applyFont="1" applyFill="1" applyBorder="1" applyAlignment="1" applyProtection="1">
      <alignment horizontal="right" vertical="center"/>
      <protection locked="0"/>
    </xf>
    <xf numFmtId="0" fontId="14" fillId="4" borderId="11" xfId="0" applyFont="1" applyFill="1" applyBorder="1" applyAlignment="1" applyProtection="1">
      <alignment vertical="center"/>
      <protection locked="0"/>
    </xf>
    <xf numFmtId="0" fontId="10" fillId="0" borderId="13" xfId="0" applyFont="1" applyFill="1" applyBorder="1" applyAlignment="1" applyProtection="1">
      <alignment vertical="center"/>
      <protection locked="0"/>
    </xf>
    <xf numFmtId="0" fontId="14" fillId="0" borderId="0" xfId="0" applyFont="1" applyFill="1" applyAlignment="1" applyProtection="1">
      <alignment horizontal="center" vertical="center" wrapText="1"/>
      <protection locked="0"/>
    </xf>
    <xf numFmtId="0" fontId="14" fillId="0" borderId="0" xfId="0" applyFont="1" applyFill="1" applyAlignment="1" applyProtection="1">
      <alignment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20" fillId="0" borderId="0" xfId="0" applyFont="1" applyFill="1" applyAlignment="1" applyProtection="1">
      <alignment vertical="center"/>
      <protection locked="0"/>
    </xf>
    <xf numFmtId="0" fontId="17" fillId="0" borderId="0" xfId="0" applyFont="1" applyFill="1" applyBorder="1" applyAlignment="1" applyProtection="1">
      <alignment horizontal="center" vertical="center"/>
      <protection locked="0"/>
    </xf>
    <xf numFmtId="17" fontId="17" fillId="0" borderId="0" xfId="0" applyNumberFormat="1" applyFont="1" applyFill="1" applyBorder="1" applyAlignment="1" applyProtection="1">
      <alignment vertical="center"/>
      <protection locked="0"/>
    </xf>
    <xf numFmtId="0" fontId="17" fillId="0" borderId="0" xfId="0" applyFont="1" applyFill="1" applyBorder="1" applyAlignment="1" applyProtection="1">
      <alignment vertical="center"/>
      <protection locked="0"/>
    </xf>
    <xf numFmtId="0" fontId="14" fillId="0" borderId="0" xfId="0" applyFont="1" applyFill="1" applyBorder="1" applyAlignment="1" applyProtection="1">
      <alignment horizontal="center" vertical="center" wrapText="1"/>
      <protection locked="0"/>
    </xf>
    <xf numFmtId="10" fontId="11" fillId="0" borderId="14" xfId="2" applyNumberFormat="1" applyFont="1" applyFill="1" applyBorder="1" applyAlignment="1" applyProtection="1">
      <alignment horizontal="center" vertical="center"/>
      <protection locked="0"/>
    </xf>
    <xf numFmtId="0" fontId="20" fillId="4" borderId="0" xfId="0" applyFont="1" applyFill="1" applyAlignment="1" applyProtection="1">
      <alignment horizontal="center" vertical="center"/>
      <protection locked="0"/>
    </xf>
    <xf numFmtId="0" fontId="17" fillId="8" borderId="0" xfId="0" applyFont="1" applyFill="1" applyBorder="1" applyAlignment="1" applyProtection="1">
      <alignment horizontal="center" vertical="center" wrapText="1"/>
      <protection locked="0"/>
    </xf>
    <xf numFmtId="0" fontId="17" fillId="9" borderId="0" xfId="0" applyFont="1" applyFill="1" applyBorder="1" applyAlignment="1" applyProtection="1">
      <alignment horizontal="center" vertical="center" wrapText="1"/>
      <protection locked="0"/>
    </xf>
    <xf numFmtId="0" fontId="17" fillId="8" borderId="0" xfId="0" applyFont="1" applyFill="1" applyBorder="1" applyAlignment="1" applyProtection="1">
      <alignment horizontal="center" vertical="center"/>
      <protection locked="0"/>
    </xf>
    <xf numFmtId="0" fontId="20" fillId="8" borderId="0" xfId="0" applyFont="1" applyFill="1" applyBorder="1" applyAlignment="1" applyProtection="1">
      <alignment horizontal="center" vertical="center"/>
      <protection locked="0"/>
    </xf>
    <xf numFmtId="0" fontId="17" fillId="11" borderId="0" xfId="0" applyFont="1" applyFill="1" applyBorder="1" applyAlignment="1" applyProtection="1">
      <alignment horizontal="center" vertical="center" wrapText="1"/>
      <protection locked="0"/>
    </xf>
    <xf numFmtId="0" fontId="22" fillId="8" borderId="0" xfId="0" applyFont="1" applyFill="1" applyBorder="1" applyAlignment="1" applyProtection="1">
      <alignment horizontal="center" vertical="center"/>
      <protection locked="0"/>
    </xf>
    <xf numFmtId="0" fontId="24" fillId="8" borderId="0" xfId="0" applyFont="1" applyFill="1" applyBorder="1" applyAlignment="1" applyProtection="1">
      <alignment horizontal="center" vertical="center"/>
      <protection locked="0"/>
    </xf>
    <xf numFmtId="0" fontId="14" fillId="4" borderId="1" xfId="0" applyFont="1" applyFill="1" applyBorder="1" applyAlignment="1" applyProtection="1">
      <alignment vertical="center"/>
      <protection locked="0"/>
    </xf>
    <xf numFmtId="0" fontId="14" fillId="4" borderId="14" xfId="0" applyFont="1" applyFill="1" applyBorder="1" applyAlignment="1" applyProtection="1">
      <alignment vertical="center"/>
      <protection locked="0"/>
    </xf>
    <xf numFmtId="0" fontId="17" fillId="9" borderId="14" xfId="0" applyFont="1" applyFill="1" applyBorder="1" applyAlignment="1" applyProtection="1">
      <alignment horizontal="center" vertical="center" wrapText="1"/>
      <protection locked="0"/>
    </xf>
    <xf numFmtId="10" fontId="11" fillId="0" borderId="14" xfId="2" applyNumberFormat="1" applyFont="1" applyFill="1" applyBorder="1" applyAlignment="1">
      <alignment horizontal="center" vertical="center"/>
    </xf>
    <xf numFmtId="0" fontId="17" fillId="11" borderId="14" xfId="0" applyFont="1" applyFill="1" applyBorder="1" applyAlignment="1" applyProtection="1">
      <alignment horizontal="center" vertical="center" wrapText="1"/>
      <protection locked="0"/>
    </xf>
    <xf numFmtId="10" fontId="11" fillId="0" borderId="14" xfId="2" applyNumberFormat="1" applyFont="1" applyFill="1" applyBorder="1" applyAlignment="1" applyProtection="1">
      <alignment horizontal="center" vertical="center"/>
      <protection locked="0" hidden="1"/>
    </xf>
    <xf numFmtId="0" fontId="15" fillId="0" borderId="12" xfId="0" applyFont="1" applyFill="1" applyBorder="1" applyAlignment="1" applyProtection="1">
      <alignment horizontal="center" vertical="center" wrapText="1"/>
      <protection locked="0"/>
    </xf>
    <xf numFmtId="0" fontId="19" fillId="10" borderId="0" xfId="0" applyFont="1" applyFill="1" applyBorder="1" applyAlignment="1">
      <alignment vertical="center" wrapText="1"/>
    </xf>
    <xf numFmtId="0" fontId="19" fillId="7" borderId="0" xfId="0" applyFont="1" applyFill="1" applyBorder="1" applyAlignment="1">
      <alignment vertical="center" wrapText="1"/>
    </xf>
    <xf numFmtId="0" fontId="19" fillId="10" borderId="13" xfId="0" applyFont="1" applyFill="1" applyBorder="1" applyAlignment="1">
      <alignment vertical="center" wrapText="1"/>
    </xf>
    <xf numFmtId="0" fontId="19" fillId="10" borderId="14" xfId="0" applyFont="1" applyFill="1" applyBorder="1" applyAlignment="1">
      <alignment vertical="center" wrapText="1"/>
    </xf>
    <xf numFmtId="0" fontId="19" fillId="7" borderId="14" xfId="0" applyFont="1" applyFill="1" applyBorder="1" applyAlignment="1">
      <alignment vertical="center" wrapText="1"/>
    </xf>
    <xf numFmtId="0" fontId="15" fillId="10" borderId="13" xfId="0" applyFont="1" applyFill="1" applyBorder="1" applyAlignment="1">
      <alignment vertical="center" wrapText="1"/>
    </xf>
    <xf numFmtId="0" fontId="15" fillId="10" borderId="14" xfId="0" applyFont="1" applyFill="1" applyBorder="1" applyAlignment="1">
      <alignment vertical="center" wrapText="1"/>
    </xf>
    <xf numFmtId="0" fontId="15" fillId="7" borderId="14" xfId="0" applyFont="1" applyFill="1" applyBorder="1" applyAlignment="1">
      <alignment vertical="center" wrapText="1"/>
    </xf>
    <xf numFmtId="0" fontId="15" fillId="10" borderId="0" xfId="0" applyFont="1" applyFill="1" applyBorder="1" applyAlignment="1">
      <alignment vertical="center" wrapText="1"/>
    </xf>
    <xf numFmtId="0" fontId="15" fillId="7" borderId="0" xfId="0" applyFont="1" applyFill="1" applyBorder="1" applyAlignment="1">
      <alignment vertical="center" wrapText="1"/>
    </xf>
    <xf numFmtId="0" fontId="17" fillId="9" borderId="1" xfId="0" applyFont="1" applyFill="1" applyBorder="1" applyAlignment="1" applyProtection="1">
      <alignment horizontal="center" vertical="center" wrapText="1"/>
      <protection locked="0"/>
    </xf>
    <xf numFmtId="0" fontId="17" fillId="8" borderId="18" xfId="0" applyFont="1" applyFill="1" applyBorder="1" applyAlignment="1" applyProtection="1">
      <alignment horizontal="center" vertical="center" wrapText="1"/>
      <protection locked="0"/>
    </xf>
    <xf numFmtId="10" fontId="11" fillId="0" borderId="18" xfId="2" applyNumberFormat="1" applyFont="1" applyFill="1" applyBorder="1" applyAlignment="1" applyProtection="1">
      <alignment horizontal="center" vertical="center"/>
      <protection locked="0"/>
    </xf>
    <xf numFmtId="0" fontId="14" fillId="4" borderId="18" xfId="0" applyFont="1" applyFill="1" applyBorder="1" applyAlignment="1" applyProtection="1">
      <alignment vertical="center"/>
      <protection locked="0"/>
    </xf>
    <xf numFmtId="17" fontId="17" fillId="0" borderId="0" xfId="0" applyNumberFormat="1" applyFont="1" applyFill="1" applyBorder="1" applyAlignment="1" applyProtection="1">
      <alignment horizontal="center" vertical="center"/>
      <protection locked="0"/>
    </xf>
    <xf numFmtId="0" fontId="25" fillId="3" borderId="0" xfId="0" applyFont="1" applyFill="1" applyProtection="1">
      <protection locked="0"/>
    </xf>
    <xf numFmtId="0" fontId="25" fillId="3" borderId="0" xfId="0" applyFont="1" applyFill="1" applyAlignment="1" applyProtection="1">
      <protection locked="0"/>
    </xf>
    <xf numFmtId="0" fontId="25" fillId="4" borderId="0" xfId="0" applyFont="1" applyFill="1" applyAlignment="1" applyProtection="1">
      <protection locked="0"/>
    </xf>
    <xf numFmtId="0" fontId="26" fillId="4" borderId="0" xfId="0" applyFont="1" applyFill="1" applyAlignment="1" applyProtection="1">
      <alignment horizontal="center" vertical="center" wrapText="1"/>
      <protection locked="0"/>
    </xf>
    <xf numFmtId="0" fontId="25" fillId="3" borderId="0" xfId="0" applyFont="1" applyFill="1" applyAlignment="1" applyProtection="1">
      <alignment horizontal="right"/>
      <protection locked="0"/>
    </xf>
    <xf numFmtId="1" fontId="25" fillId="3" borderId="0" xfId="0" applyNumberFormat="1" applyFont="1" applyFill="1" applyProtection="1">
      <protection locked="0"/>
    </xf>
    <xf numFmtId="0" fontId="26" fillId="4" borderId="0" xfId="0" applyFont="1" applyFill="1" applyAlignment="1" applyProtection="1">
      <alignment vertical="center"/>
      <protection locked="0"/>
    </xf>
    <xf numFmtId="0" fontId="27" fillId="10" borderId="6" xfId="0" applyFont="1" applyFill="1" applyBorder="1" applyAlignment="1" applyProtection="1">
      <alignment horizontal="center" vertical="center"/>
      <protection locked="0"/>
    </xf>
    <xf numFmtId="0" fontId="25" fillId="3" borderId="0" xfId="0" applyFont="1" applyFill="1" applyAlignment="1" applyProtection="1">
      <alignment vertical="center"/>
      <protection locked="0"/>
    </xf>
    <xf numFmtId="9" fontId="28" fillId="5" borderId="7" xfId="3" applyNumberFormat="1" applyFont="1" applyFill="1" applyBorder="1" applyAlignment="1" applyProtection="1">
      <alignment horizontal="center"/>
      <protection locked="0"/>
    </xf>
    <xf numFmtId="9" fontId="28" fillId="12" borderId="8" xfId="2" applyNumberFormat="1" applyFont="1" applyFill="1" applyBorder="1" applyAlignment="1" applyProtection="1">
      <alignment horizontal="center" vertical="center" wrapText="1"/>
      <protection locked="0"/>
    </xf>
    <xf numFmtId="0" fontId="25" fillId="3" borderId="0" xfId="0" applyFont="1" applyFill="1" applyBorder="1" applyProtection="1">
      <protection locked="0"/>
    </xf>
    <xf numFmtId="9" fontId="25" fillId="3" borderId="0" xfId="0" applyNumberFormat="1" applyFont="1" applyFill="1" applyBorder="1" applyProtection="1">
      <protection locked="0"/>
    </xf>
    <xf numFmtId="0" fontId="25" fillId="3" borderId="0" xfId="0" applyFont="1" applyFill="1" applyBorder="1" applyAlignment="1" applyProtection="1">
      <alignment vertical="center"/>
      <protection locked="0"/>
    </xf>
    <xf numFmtId="0" fontId="30" fillId="4" borderId="10" xfId="0" applyFont="1" applyFill="1" applyBorder="1" applyAlignment="1" applyProtection="1">
      <alignment vertical="center"/>
      <protection locked="0"/>
    </xf>
    <xf numFmtId="0" fontId="30" fillId="4" borderId="0" xfId="0" applyFont="1" applyFill="1" applyAlignment="1" applyProtection="1">
      <alignment vertical="center"/>
      <protection locked="0"/>
    </xf>
    <xf numFmtId="0" fontId="26" fillId="4" borderId="11" xfId="0" applyFont="1" applyFill="1" applyBorder="1" applyAlignment="1" applyProtection="1">
      <alignment vertical="center"/>
      <protection locked="0"/>
    </xf>
    <xf numFmtId="0" fontId="27" fillId="0" borderId="12" xfId="0" applyFont="1" applyFill="1" applyBorder="1" applyAlignment="1" applyProtection="1">
      <alignment horizontal="center" vertical="center" wrapText="1"/>
      <protection locked="0"/>
    </xf>
    <xf numFmtId="0" fontId="27" fillId="0" borderId="1" xfId="0" applyFont="1" applyFill="1" applyBorder="1" applyAlignment="1" applyProtection="1">
      <alignment horizontal="center" vertical="center" wrapText="1"/>
      <protection locked="0"/>
    </xf>
    <xf numFmtId="1" fontId="25" fillId="3" borderId="0" xfId="0" applyNumberFormat="1" applyFont="1" applyFill="1" applyAlignment="1" applyProtection="1">
      <alignment vertical="center"/>
      <protection locked="0"/>
    </xf>
    <xf numFmtId="0" fontId="26" fillId="4" borderId="0" xfId="0" applyFont="1" applyFill="1" applyBorder="1" applyAlignment="1" applyProtection="1">
      <alignment vertical="center"/>
      <protection locked="0"/>
    </xf>
    <xf numFmtId="0" fontId="30" fillId="4" borderId="0" xfId="0" applyFont="1" applyFill="1" applyBorder="1" applyAlignment="1" applyProtection="1">
      <alignment vertical="center"/>
      <protection locked="0"/>
    </xf>
    <xf numFmtId="0" fontId="30" fillId="4" borderId="3" xfId="0" applyFont="1" applyFill="1" applyBorder="1" applyAlignment="1" applyProtection="1">
      <alignment vertical="center"/>
      <protection locked="0"/>
    </xf>
    <xf numFmtId="0" fontId="26" fillId="4" borderId="1" xfId="0" applyFont="1" applyFill="1" applyBorder="1" applyAlignment="1" applyProtection="1">
      <alignment vertical="center"/>
      <protection locked="0"/>
    </xf>
    <xf numFmtId="0" fontId="30" fillId="9" borderId="1" xfId="0" applyFont="1" applyFill="1" applyBorder="1" applyAlignment="1" applyProtection="1">
      <alignment horizontal="center" vertical="center" wrapText="1"/>
      <protection locked="0"/>
    </xf>
    <xf numFmtId="0" fontId="25" fillId="0" borderId="1" xfId="0" applyFont="1" applyFill="1" applyBorder="1" applyAlignment="1" applyProtection="1">
      <alignment horizontal="center" vertical="center"/>
      <protection locked="0"/>
    </xf>
    <xf numFmtId="9" fontId="25" fillId="0" borderId="1" xfId="0" applyNumberFormat="1" applyFont="1" applyFill="1" applyBorder="1" applyAlignment="1" applyProtection="1">
      <alignment horizontal="center" vertical="center"/>
      <protection locked="0"/>
    </xf>
    <xf numFmtId="0" fontId="26" fillId="4" borderId="18" xfId="0" applyFont="1" applyFill="1" applyBorder="1" applyAlignment="1" applyProtection="1">
      <alignment vertical="center"/>
      <protection locked="0"/>
    </xf>
    <xf numFmtId="0" fontId="30" fillId="8" borderId="18" xfId="0" applyFont="1" applyFill="1" applyBorder="1" applyAlignment="1" applyProtection="1">
      <alignment horizontal="center" vertical="center" wrapText="1"/>
      <protection locked="0"/>
    </xf>
    <xf numFmtId="10" fontId="25" fillId="0" borderId="18" xfId="0" applyNumberFormat="1" applyFont="1" applyFill="1" applyBorder="1" applyAlignment="1" applyProtection="1">
      <alignment horizontal="center" vertical="center"/>
      <protection locked="0"/>
    </xf>
    <xf numFmtId="9" fontId="25" fillId="0" borderId="18" xfId="0" applyNumberFormat="1" applyFont="1" applyFill="1" applyBorder="1" applyAlignment="1" applyProtection="1">
      <alignment horizontal="center" vertical="center"/>
      <protection locked="0" hidden="1"/>
    </xf>
    <xf numFmtId="10" fontId="25" fillId="0" borderId="18" xfId="0" applyNumberFormat="1" applyFont="1" applyFill="1" applyBorder="1" applyAlignment="1" applyProtection="1">
      <alignment horizontal="center" vertical="center"/>
      <protection locked="0" hidden="1"/>
    </xf>
    <xf numFmtId="10" fontId="28" fillId="0" borderId="18" xfId="0" applyNumberFormat="1" applyFont="1" applyFill="1" applyBorder="1" applyAlignment="1" applyProtection="1">
      <alignment horizontal="center" vertical="center"/>
      <protection locked="0"/>
    </xf>
    <xf numFmtId="10" fontId="28" fillId="0" borderId="18" xfId="0" applyNumberFormat="1" applyFont="1" applyFill="1" applyBorder="1" applyAlignment="1" applyProtection="1">
      <alignment horizontal="center" vertical="center"/>
      <protection locked="0" hidden="1"/>
    </xf>
    <xf numFmtId="17" fontId="30" fillId="4" borderId="10" xfId="0" applyNumberFormat="1" applyFont="1" applyFill="1" applyBorder="1" applyAlignment="1" applyProtection="1">
      <alignment vertical="center"/>
      <protection locked="0"/>
    </xf>
    <xf numFmtId="0" fontId="32" fillId="10" borderId="13" xfId="0" applyFont="1" applyFill="1" applyBorder="1" applyAlignment="1">
      <alignment vertical="center" wrapText="1"/>
    </xf>
    <xf numFmtId="0" fontId="27" fillId="10" borderId="14" xfId="0" applyFont="1" applyFill="1" applyBorder="1" applyAlignment="1">
      <alignment vertical="center" wrapText="1"/>
    </xf>
    <xf numFmtId="0" fontId="26" fillId="4" borderId="14" xfId="0" applyFont="1" applyFill="1" applyBorder="1" applyAlignment="1" applyProtection="1">
      <alignment vertical="center"/>
      <protection locked="0"/>
    </xf>
    <xf numFmtId="0" fontId="30" fillId="9" borderId="14" xfId="0" applyFont="1" applyFill="1" applyBorder="1" applyAlignment="1" applyProtection="1">
      <alignment horizontal="center" vertical="center" wrapText="1"/>
      <protection locked="0"/>
    </xf>
    <xf numFmtId="10" fontId="25" fillId="0" borderId="14" xfId="2" applyNumberFormat="1" applyFont="1" applyFill="1" applyBorder="1" applyAlignment="1" applyProtection="1">
      <alignment horizontal="center" vertical="center"/>
      <protection locked="0"/>
    </xf>
    <xf numFmtId="10" fontId="25" fillId="0" borderId="14" xfId="2" applyNumberFormat="1" applyFont="1" applyFill="1" applyBorder="1" applyAlignment="1">
      <alignment horizontal="center" vertical="center"/>
    </xf>
    <xf numFmtId="0" fontId="32" fillId="10" borderId="0" xfId="0" applyFont="1" applyFill="1" applyBorder="1" applyAlignment="1">
      <alignment vertical="center" wrapText="1"/>
    </xf>
    <xf numFmtId="0" fontId="30" fillId="8" borderId="0" xfId="0" applyFont="1" applyFill="1" applyBorder="1" applyAlignment="1" applyProtection="1">
      <alignment horizontal="center" vertical="center" wrapText="1"/>
      <protection locked="0"/>
    </xf>
    <xf numFmtId="1" fontId="25" fillId="0" borderId="0" xfId="2" applyNumberFormat="1" applyFont="1" applyFill="1" applyBorder="1" applyAlignment="1" applyProtection="1">
      <alignment horizontal="center" vertical="center"/>
      <protection locked="0"/>
    </xf>
    <xf numFmtId="10" fontId="25" fillId="0" borderId="0" xfId="2" applyNumberFormat="1" applyFont="1" applyFill="1" applyBorder="1" applyAlignment="1" applyProtection="1">
      <alignment horizontal="center" vertical="center"/>
      <protection locked="0"/>
    </xf>
    <xf numFmtId="0" fontId="26" fillId="6" borderId="0" xfId="0" applyFont="1" applyFill="1" applyBorder="1" applyAlignment="1" applyProtection="1">
      <alignment vertical="center"/>
      <protection locked="0"/>
    </xf>
    <xf numFmtId="0" fontId="30" fillId="6" borderId="0" xfId="0" applyFont="1" applyFill="1" applyBorder="1" applyAlignment="1" applyProtection="1">
      <alignment vertical="center"/>
      <protection locked="0"/>
    </xf>
    <xf numFmtId="0" fontId="30" fillId="6" borderId="3" xfId="0" applyFont="1" applyFill="1" applyBorder="1" applyAlignment="1" applyProtection="1">
      <alignment vertical="center"/>
      <protection locked="0"/>
    </xf>
    <xf numFmtId="0" fontId="30" fillId="9" borderId="0" xfId="0" applyFont="1" applyFill="1" applyBorder="1" applyAlignment="1" applyProtection="1">
      <alignment horizontal="center" vertical="center" wrapText="1"/>
      <protection locked="0"/>
    </xf>
    <xf numFmtId="9" fontId="25" fillId="0" borderId="0" xfId="2" applyFont="1" applyFill="1" applyBorder="1" applyAlignment="1" applyProtection="1">
      <alignment horizontal="center" vertical="center"/>
      <protection locked="0"/>
    </xf>
    <xf numFmtId="9" fontId="25" fillId="0" borderId="0" xfId="2" applyNumberFormat="1" applyFont="1" applyFill="1" applyBorder="1" applyAlignment="1" applyProtection="1">
      <alignment horizontal="center" vertical="center"/>
      <protection locked="0"/>
    </xf>
    <xf numFmtId="0" fontId="30" fillId="3" borderId="0" xfId="0" applyFont="1" applyFill="1" applyBorder="1" applyAlignment="1" applyProtection="1">
      <alignment horizontal="center" vertical="center"/>
      <protection locked="0"/>
    </xf>
    <xf numFmtId="0" fontId="30" fillId="3" borderId="3" xfId="0" applyFont="1" applyFill="1" applyBorder="1" applyAlignment="1" applyProtection="1">
      <alignment horizontal="center" vertical="center"/>
      <protection locked="0"/>
    </xf>
    <xf numFmtId="0" fontId="30" fillId="4" borderId="10" xfId="0" applyFont="1" applyFill="1" applyBorder="1" applyAlignment="1" applyProtection="1">
      <alignment horizontal="center" vertical="center"/>
      <protection locked="0"/>
    </xf>
    <xf numFmtId="0" fontId="30" fillId="8" borderId="0" xfId="0" applyFont="1" applyFill="1" applyBorder="1" applyAlignment="1" applyProtection="1">
      <alignment horizontal="center" vertical="center"/>
      <protection locked="0"/>
    </xf>
    <xf numFmtId="0" fontId="33" fillId="8" borderId="0" xfId="0" applyFont="1" applyFill="1" applyBorder="1" applyAlignment="1" applyProtection="1">
      <alignment horizontal="center" vertical="center"/>
      <protection locked="0"/>
    </xf>
    <xf numFmtId="0" fontId="25" fillId="0" borderId="0" xfId="0" applyFont="1" applyFill="1" applyBorder="1" applyAlignment="1" applyProtection="1">
      <alignment vertical="center"/>
      <protection locked="0"/>
    </xf>
    <xf numFmtId="0" fontId="25" fillId="4" borderId="0" xfId="0" applyFont="1" applyFill="1" applyBorder="1" applyAlignment="1" applyProtection="1">
      <alignment vertical="center"/>
      <protection locked="0"/>
    </xf>
    <xf numFmtId="0" fontId="25" fillId="3" borderId="0" xfId="0" applyFont="1" applyFill="1" applyAlignment="1" applyProtection="1">
      <alignment horizontal="center" vertical="center"/>
      <protection locked="0"/>
    </xf>
    <xf numFmtId="0" fontId="25" fillId="3" borderId="0" xfId="0" applyFont="1" applyFill="1" applyBorder="1" applyAlignment="1" applyProtection="1">
      <alignment horizontal="center" vertical="center"/>
      <protection locked="0"/>
    </xf>
    <xf numFmtId="0" fontId="27" fillId="0" borderId="0" xfId="0" applyFont="1" applyFill="1" applyBorder="1" applyAlignment="1" applyProtection="1">
      <alignment horizontal="center" vertical="center"/>
      <protection locked="0"/>
    </xf>
    <xf numFmtId="0" fontId="27" fillId="0" borderId="11" xfId="0" applyFont="1" applyFill="1" applyBorder="1" applyAlignment="1" applyProtection="1">
      <alignment horizontal="center" vertical="center"/>
      <protection locked="0"/>
    </xf>
    <xf numFmtId="0" fontId="27" fillId="0" borderId="1" xfId="0" applyFont="1" applyFill="1" applyBorder="1" applyAlignment="1" applyProtection="1">
      <alignment horizontal="center" vertical="center"/>
      <protection locked="0"/>
    </xf>
    <xf numFmtId="0" fontId="27" fillId="0" borderId="4" xfId="0" applyFont="1" applyFill="1" applyBorder="1" applyAlignment="1" applyProtection="1">
      <alignment horizontal="center" vertical="center"/>
      <protection locked="0"/>
    </xf>
    <xf numFmtId="0" fontId="27" fillId="0" borderId="4" xfId="0" applyFont="1" applyFill="1" applyBorder="1" applyAlignment="1" applyProtection="1">
      <alignment horizontal="center" vertical="center" wrapText="1"/>
      <protection locked="0"/>
    </xf>
    <xf numFmtId="0" fontId="34" fillId="0" borderId="0" xfId="0" quotePrefix="1" applyFont="1" applyFill="1" applyBorder="1" applyAlignment="1" applyProtection="1">
      <alignment horizontal="center" vertical="center" wrapText="1"/>
      <protection locked="0"/>
    </xf>
    <xf numFmtId="0" fontId="34" fillId="0" borderId="13" xfId="0" applyFont="1" applyFill="1" applyBorder="1" applyAlignment="1" applyProtection="1">
      <alignment horizontal="left" vertical="center"/>
      <protection locked="0"/>
    </xf>
    <xf numFmtId="0" fontId="34" fillId="0" borderId="14" xfId="0" applyFont="1" applyFill="1" applyBorder="1" applyAlignment="1" applyProtection="1">
      <alignment vertical="center"/>
      <protection locked="0"/>
    </xf>
    <xf numFmtId="164" fontId="25" fillId="0" borderId="14" xfId="1" applyNumberFormat="1" applyFont="1" applyFill="1" applyBorder="1" applyAlignment="1" applyProtection="1">
      <alignment vertical="center"/>
      <protection locked="0"/>
    </xf>
    <xf numFmtId="3" fontId="25" fillId="0" borderId="14" xfId="0" applyNumberFormat="1" applyFont="1" applyFill="1" applyBorder="1" applyAlignment="1" applyProtection="1">
      <alignment vertical="center"/>
      <protection locked="0"/>
    </xf>
    <xf numFmtId="10" fontId="25" fillId="0" borderId="14" xfId="2" applyNumberFormat="1" applyFont="1" applyFill="1" applyBorder="1" applyAlignment="1" applyProtection="1">
      <alignment horizontal="right" vertical="center"/>
      <protection locked="0"/>
    </xf>
    <xf numFmtId="0" fontId="35" fillId="3" borderId="0" xfId="0" applyFont="1" applyFill="1" applyAlignment="1" applyProtection="1">
      <protection locked="0"/>
    </xf>
    <xf numFmtId="0" fontId="34" fillId="3" borderId="0" xfId="0" applyFont="1" applyFill="1" applyAlignment="1" applyProtection="1">
      <protection locked="0"/>
    </xf>
    <xf numFmtId="10" fontId="25" fillId="0" borderId="18" xfId="2" applyNumberFormat="1" applyFont="1" applyFill="1" applyBorder="1" applyAlignment="1" applyProtection="1">
      <alignment horizontal="center" vertical="center"/>
      <protection locked="0"/>
    </xf>
    <xf numFmtId="10" fontId="11" fillId="3" borderId="0" xfId="2" applyNumberFormat="1" applyFont="1" applyFill="1" applyProtection="1">
      <protection locked="0"/>
    </xf>
    <xf numFmtId="10" fontId="11" fillId="3" borderId="0" xfId="2" applyNumberFormat="1" applyFont="1" applyFill="1" applyAlignment="1" applyProtection="1">
      <protection locked="0"/>
    </xf>
    <xf numFmtId="17" fontId="30" fillId="3" borderId="0" xfId="0" applyNumberFormat="1" applyFont="1" applyFill="1" applyBorder="1" applyAlignment="1" applyProtection="1">
      <alignment horizontal="center" vertical="center"/>
      <protection locked="0"/>
    </xf>
    <xf numFmtId="17" fontId="30" fillId="3" borderId="3" xfId="0" applyNumberFormat="1" applyFont="1" applyFill="1" applyBorder="1" applyAlignment="1" applyProtection="1">
      <alignment horizontal="center" vertical="center"/>
      <protection locked="0"/>
    </xf>
    <xf numFmtId="0" fontId="32" fillId="10" borderId="0" xfId="0" applyFont="1" applyFill="1" applyBorder="1" applyAlignment="1">
      <alignment horizontal="center" vertical="center" wrapText="1"/>
    </xf>
    <xf numFmtId="0" fontId="27" fillId="10" borderId="15" xfId="0" applyFont="1" applyFill="1" applyBorder="1" applyAlignment="1">
      <alignment horizontal="center" vertical="center" wrapText="1"/>
    </xf>
    <xf numFmtId="0" fontId="27" fillId="10" borderId="16" xfId="0" applyFont="1" applyFill="1" applyBorder="1" applyAlignment="1">
      <alignment horizontal="center" vertical="center" wrapText="1"/>
    </xf>
    <xf numFmtId="0" fontId="31" fillId="10" borderId="11" xfId="0" applyFont="1" applyFill="1" applyBorder="1" applyAlignment="1">
      <alignment horizontal="center" vertical="center" wrapText="1"/>
    </xf>
    <xf numFmtId="0" fontId="31" fillId="10" borderId="1" xfId="0" applyFont="1" applyFill="1" applyBorder="1" applyAlignment="1">
      <alignment horizontal="center" vertical="center" wrapText="1"/>
    </xf>
    <xf numFmtId="0" fontId="32" fillId="10" borderId="17" xfId="0" applyFont="1" applyFill="1" applyBorder="1" applyAlignment="1">
      <alignment horizontal="center" vertical="center" wrapText="1"/>
    </xf>
    <xf numFmtId="0" fontId="32" fillId="10" borderId="18" xfId="0" applyFont="1" applyFill="1" applyBorder="1" applyAlignment="1">
      <alignment horizontal="center" vertical="center" wrapText="1"/>
    </xf>
    <xf numFmtId="0" fontId="29" fillId="3" borderId="0" xfId="0" applyFont="1" applyFill="1" applyBorder="1" applyAlignment="1" applyProtection="1">
      <alignment horizontal="center" vertical="center"/>
      <protection locked="0"/>
    </xf>
    <xf numFmtId="0" fontId="29" fillId="3" borderId="3" xfId="0" applyFont="1" applyFill="1" applyBorder="1" applyAlignment="1" applyProtection="1">
      <alignment horizontal="center" vertical="center"/>
      <protection locked="0"/>
    </xf>
    <xf numFmtId="0" fontId="30" fillId="3" borderId="0" xfId="0" applyFont="1" applyFill="1" applyBorder="1" applyAlignment="1" applyProtection="1">
      <alignment horizontal="center" vertical="center"/>
      <protection locked="0"/>
    </xf>
    <xf numFmtId="0" fontId="30" fillId="3" borderId="3" xfId="0" applyFont="1" applyFill="1" applyBorder="1" applyAlignment="1" applyProtection="1">
      <alignment horizontal="center" vertical="center"/>
      <protection locked="0"/>
    </xf>
    <xf numFmtId="0" fontId="15" fillId="10" borderId="15" xfId="0" applyFont="1" applyFill="1" applyBorder="1" applyAlignment="1">
      <alignment horizontal="center" vertical="center" wrapText="1"/>
    </xf>
    <xf numFmtId="0" fontId="15" fillId="10" borderId="16" xfId="0" applyFont="1" applyFill="1" applyBorder="1" applyAlignment="1">
      <alignment horizontal="center" vertical="center" wrapText="1"/>
    </xf>
    <xf numFmtId="0" fontId="14" fillId="6" borderId="0" xfId="0" applyFont="1" applyFill="1" applyAlignment="1" applyProtection="1">
      <alignment horizontal="center" vertical="center"/>
      <protection locked="0"/>
    </xf>
    <xf numFmtId="0" fontId="17" fillId="6" borderId="0" xfId="0" applyFont="1" applyFill="1" applyAlignment="1" applyProtection="1">
      <alignment horizontal="center" vertical="center"/>
      <protection locked="0"/>
    </xf>
    <xf numFmtId="0" fontId="17" fillId="6" borderId="3" xfId="0" applyFont="1" applyFill="1" applyBorder="1" applyAlignment="1" applyProtection="1">
      <alignment horizontal="center" vertical="center"/>
      <protection locked="0"/>
    </xf>
    <xf numFmtId="0" fontId="14" fillId="4" borderId="0" xfId="0" applyFont="1" applyFill="1" applyAlignment="1" applyProtection="1">
      <alignment horizontal="center" vertical="center"/>
      <protection locked="0"/>
    </xf>
    <xf numFmtId="0" fontId="17" fillId="4" borderId="0" xfId="0" applyFont="1" applyFill="1" applyAlignment="1" applyProtection="1">
      <alignment horizontal="center" vertical="center"/>
      <protection locked="0"/>
    </xf>
    <xf numFmtId="0" fontId="17" fillId="4" borderId="3" xfId="0" applyFont="1" applyFill="1" applyBorder="1" applyAlignment="1" applyProtection="1">
      <alignment horizontal="center" vertical="center"/>
      <protection locked="0"/>
    </xf>
    <xf numFmtId="0" fontId="19" fillId="10" borderId="0" xfId="0" applyFont="1" applyFill="1" applyBorder="1" applyAlignment="1">
      <alignment horizontal="center" vertical="center" wrapText="1"/>
    </xf>
    <xf numFmtId="0" fontId="18" fillId="10" borderId="11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 wrapText="1"/>
    </xf>
    <xf numFmtId="0" fontId="19" fillId="10" borderId="17" xfId="0" applyFont="1" applyFill="1" applyBorder="1" applyAlignment="1">
      <alignment horizontal="center" vertical="center" wrapText="1"/>
    </xf>
    <xf numFmtId="0" fontId="19" fillId="10" borderId="18" xfId="0" applyFont="1" applyFill="1" applyBorder="1" applyAlignment="1">
      <alignment horizontal="center" vertical="center" wrapText="1"/>
    </xf>
    <xf numFmtId="17" fontId="17" fillId="3" borderId="0" xfId="0" applyNumberFormat="1" applyFont="1" applyFill="1" applyBorder="1" applyAlignment="1" applyProtection="1">
      <alignment horizontal="center" vertical="center"/>
      <protection locked="0"/>
    </xf>
    <xf numFmtId="0" fontId="14" fillId="4" borderId="0" xfId="0" applyFont="1" applyFill="1" applyBorder="1" applyAlignment="1" applyProtection="1">
      <alignment horizontal="center" vertical="center"/>
      <protection locked="0"/>
    </xf>
    <xf numFmtId="0" fontId="17" fillId="4" borderId="0" xfId="0" applyFont="1" applyFill="1" applyBorder="1" applyAlignment="1" applyProtection="1">
      <alignment horizontal="center" vertical="center"/>
      <protection locked="0"/>
    </xf>
    <xf numFmtId="0" fontId="14" fillId="6" borderId="0" xfId="0" applyFont="1" applyFill="1" applyBorder="1" applyAlignment="1" applyProtection="1">
      <alignment horizontal="center" vertical="center"/>
      <protection locked="0"/>
    </xf>
    <xf numFmtId="0" fontId="17" fillId="6" borderId="0" xfId="0" applyFont="1" applyFill="1" applyBorder="1" applyAlignment="1" applyProtection="1">
      <alignment horizontal="center" vertical="center"/>
      <protection locked="0"/>
    </xf>
    <xf numFmtId="0" fontId="9" fillId="3" borderId="0" xfId="0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 applyAlignment="1" applyProtection="1">
      <alignment horizontal="center" vertical="center"/>
      <protection locked="0"/>
    </xf>
    <xf numFmtId="0" fontId="15" fillId="10" borderId="0" xfId="0" applyFont="1" applyFill="1" applyBorder="1" applyAlignment="1">
      <alignment horizontal="center" vertical="center" wrapText="1"/>
    </xf>
    <xf numFmtId="0" fontId="15" fillId="10" borderId="17" xfId="0" applyFont="1" applyFill="1" applyBorder="1" applyAlignment="1">
      <alignment horizontal="center" vertical="center" wrapText="1"/>
    </xf>
    <xf numFmtId="0" fontId="15" fillId="10" borderId="18" xfId="0" applyFont="1" applyFill="1" applyBorder="1" applyAlignment="1">
      <alignment horizontal="center" vertical="center" wrapText="1"/>
    </xf>
    <xf numFmtId="0" fontId="15" fillId="10" borderId="9" xfId="0" applyFont="1" applyFill="1" applyBorder="1" applyAlignment="1">
      <alignment horizontal="center" vertical="center" wrapText="1"/>
    </xf>
    <xf numFmtId="0" fontId="15" fillId="10" borderId="4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 wrapText="1"/>
    </xf>
    <xf numFmtId="0" fontId="15" fillId="10" borderId="11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15" fillId="7" borderId="2" xfId="0" applyFont="1" applyFill="1" applyBorder="1" applyAlignment="1">
      <alignment horizontal="center" vertical="center" wrapText="1"/>
    </xf>
    <xf numFmtId="0" fontId="15" fillId="7" borderId="18" xfId="0" applyFont="1" applyFill="1" applyBorder="1" applyAlignment="1">
      <alignment horizontal="center" vertical="center" wrapText="1"/>
    </xf>
    <xf numFmtId="0" fontId="15" fillId="7" borderId="0" xfId="0" applyFont="1" applyFill="1" applyBorder="1" applyAlignment="1">
      <alignment horizontal="center" vertical="center" wrapText="1"/>
    </xf>
    <xf numFmtId="0" fontId="19" fillId="10" borderId="11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horizontal="center" vertical="center" wrapText="1"/>
    </xf>
    <xf numFmtId="0" fontId="19" fillId="7" borderId="2" xfId="0" applyFont="1" applyFill="1" applyBorder="1" applyAlignment="1">
      <alignment horizontal="center" vertical="center" wrapText="1"/>
    </xf>
    <xf numFmtId="0" fontId="19" fillId="10" borderId="9" xfId="0" applyFont="1" applyFill="1" applyBorder="1" applyAlignment="1">
      <alignment horizontal="center" vertical="center" wrapText="1"/>
    </xf>
    <xf numFmtId="0" fontId="19" fillId="10" borderId="4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19" fillId="7" borderId="0" xfId="0" applyFont="1" applyFill="1" applyBorder="1" applyAlignment="1">
      <alignment horizontal="center" vertical="center" wrapText="1"/>
    </xf>
    <xf numFmtId="0" fontId="19" fillId="7" borderId="18" xfId="0" applyFont="1" applyFill="1" applyBorder="1" applyAlignment="1">
      <alignment horizontal="center" vertical="center" wrapText="1"/>
    </xf>
    <xf numFmtId="0" fontId="19" fillId="10" borderId="10" xfId="0" applyFont="1" applyFill="1" applyBorder="1" applyAlignment="1">
      <alignment horizontal="center" vertical="center" wrapText="1"/>
    </xf>
    <xf numFmtId="0" fontId="12" fillId="11" borderId="9" xfId="0" applyFont="1" applyFill="1" applyBorder="1" applyAlignment="1">
      <alignment horizontal="center" vertical="center"/>
    </xf>
    <xf numFmtId="0" fontId="12" fillId="11" borderId="5" xfId="0" applyFont="1" applyFill="1" applyBorder="1" applyAlignment="1">
      <alignment horizontal="center" vertical="center"/>
    </xf>
    <xf numFmtId="0" fontId="36" fillId="0" borderId="0" xfId="0" applyNumberFormat="1" applyFont="1" applyFill="1" applyAlignment="1" applyProtection="1">
      <alignment horizontal="center" vertical="center"/>
      <protection locked="0"/>
    </xf>
    <xf numFmtId="0" fontId="36" fillId="0" borderId="0" xfId="0" applyFont="1" applyFill="1" applyAlignment="1" applyProtection="1">
      <alignment horizontal="left" vertical="center"/>
      <protection locked="0"/>
    </xf>
    <xf numFmtId="0" fontId="37" fillId="0" borderId="10" xfId="0" applyFont="1" applyFill="1" applyBorder="1" applyAlignment="1" applyProtection="1">
      <alignment vertical="center"/>
      <protection locked="0"/>
    </xf>
    <xf numFmtId="0" fontId="36" fillId="0" borderId="0" xfId="0" applyFont="1" applyFill="1" applyAlignment="1" applyProtection="1">
      <alignment vertical="center"/>
      <protection locked="0"/>
    </xf>
    <xf numFmtId="164" fontId="38" fillId="0" borderId="0" xfId="1" applyNumberFormat="1" applyFont="1" applyFill="1" applyAlignment="1" applyProtection="1">
      <alignment vertical="center"/>
      <protection locked="0"/>
    </xf>
    <xf numFmtId="3" fontId="39" fillId="0" borderId="0" xfId="1" applyNumberFormat="1" applyFont="1" applyFill="1" applyAlignment="1" applyProtection="1">
      <alignment vertical="center"/>
      <protection locked="0"/>
    </xf>
    <xf numFmtId="10" fontId="39" fillId="0" borderId="0" xfId="2" applyNumberFormat="1" applyFont="1" applyFill="1" applyAlignment="1" applyProtection="1">
      <alignment horizontal="right" vertical="center"/>
      <protection locked="0"/>
    </xf>
    <xf numFmtId="10" fontId="40" fillId="0" borderId="0" xfId="2" applyNumberFormat="1" applyFont="1" applyFill="1" applyAlignment="1" applyProtection="1">
      <alignment horizontal="right" vertical="center"/>
      <protection locked="0"/>
    </xf>
    <xf numFmtId="10" fontId="39" fillId="3" borderId="0" xfId="2" applyNumberFormat="1" applyFont="1" applyFill="1" applyAlignment="1" applyProtection="1">
      <alignment horizontal="right"/>
      <protection locked="0"/>
    </xf>
    <xf numFmtId="0" fontId="37" fillId="0" borderId="0" xfId="0" applyFont="1" applyFill="1" applyAlignment="1" applyProtection="1">
      <alignment vertical="center"/>
      <protection locked="0"/>
    </xf>
  </cellXfs>
  <cellStyles count="16">
    <cellStyle name="Comma" xfId="1" builtinId="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eutral" xfId="3" builtinId="28"/>
    <cellStyle name="Normal" xfId="0" builtinId="0"/>
    <cellStyle name="Percent" xfId="2" builtinId="5"/>
  </cellStyles>
  <dxfs count="565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.5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thin">
          <color theme="1"/>
        </top>
      </border>
    </dxf>
    <dxf>
      <font>
        <b/>
        <color theme="1"/>
      </font>
      <border>
        <bottom style="thin">
          <color theme="1"/>
        </bottom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  <dxf>
      <fill>
        <patternFill patternType="solid">
          <fgColor indexed="64"/>
          <bgColor theme="0" tint="-4.9989318521683403E-2"/>
        </patternFill>
      </fill>
    </dxf>
    <dxf>
      <font>
        <color rgb="FF415560"/>
      </font>
      <fill>
        <patternFill>
          <bgColor rgb="FF415560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ill>
        <patternFill patternType="none">
          <fgColor indexed="64"/>
          <bgColor auto="1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 style="thin">
          <color theme="0" tint="-0.14996795556505021"/>
        </horizontal>
      </border>
    </dxf>
    <dxf>
      <font>
        <color auto="1"/>
      </font>
      <fill>
        <patternFill>
          <bgColor theme="3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ill>
        <patternFill patternType="none">
          <fgColor indexed="64"/>
          <bgColor auto="1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 style="thin">
          <color theme="2" tint="-9.9948118533890809E-2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5" defaultTableStyle="TableStyleMedium2" defaultPivotStyle="PivotStyleLight16">
    <tableStyle name="MySqlDefault" pivot="0" table="0" count="2" xr9:uid="{00000000-0011-0000-FFFF-FFFF00000000}">
      <tableStyleElement type="wholeTable" dxfId="564"/>
      <tableStyleElement type="headerRow" dxfId="563"/>
    </tableStyle>
    <tableStyle name="New IAS" pivot="0" count="2" xr9:uid="{00000000-0011-0000-FFFF-FFFF01000000}">
      <tableStyleElement type="wholeTable" dxfId="562"/>
      <tableStyleElement type="headerRow" dxfId="561"/>
    </tableStyle>
    <tableStyle name="Table Style 1" pivot="0" count="2" xr9:uid="{00000000-0011-0000-FFFF-FFFF02000000}">
      <tableStyleElement type="wholeTable" dxfId="560"/>
      <tableStyleElement type="headerRow" dxfId="559"/>
    </tableStyle>
    <tableStyle name="Table Style 2" pivot="0" count="1" xr9:uid="{00000000-0011-0000-FFFF-FFFF03000000}">
      <tableStyleElement type="wholeTable" dxfId="558"/>
    </tableStyle>
    <tableStyle name="TableStyleLight1 2" pivot="0" count="7" xr9:uid="{00000000-0011-0000-FFFF-FFFF04000000}">
      <tableStyleElement type="wholeTable" dxfId="557"/>
      <tableStyleElement type="headerRow" dxfId="556"/>
      <tableStyleElement type="totalRow" dxfId="555"/>
      <tableStyleElement type="firstColumn" dxfId="554"/>
      <tableStyleElement type="lastColumn" dxfId="553"/>
      <tableStyleElement type="firstRowStripe" dxfId="552"/>
      <tableStyleElement type="firstColumnStripe" dxfId="551"/>
    </tableStyle>
  </tableStyles>
  <colors>
    <mruColors>
      <color rgb="FF415560"/>
      <color rgb="FFB6B8BA"/>
      <color rgb="FFF57B20"/>
      <color rgb="FF455560"/>
      <color rgb="FF0000FF"/>
      <color rgb="FFF47B20"/>
      <color rgb="FF73C167"/>
      <color rgb="FFAAF5C3"/>
      <color rgb="FF9CC5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1023936</xdr:colOff>
      <xdr:row>1</xdr:row>
      <xdr:rowOff>119063</xdr:rowOff>
    </xdr:from>
    <xdr:to>
      <xdr:col>2</xdr:col>
      <xdr:colOff>3309941</xdr:colOff>
      <xdr:row>4</xdr:row>
      <xdr:rowOff>17241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717" y="321469"/>
          <a:ext cx="2286005" cy="4815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1071565</xdr:colOff>
      <xdr:row>1</xdr:row>
      <xdr:rowOff>107157</xdr:rowOff>
    </xdr:from>
    <xdr:to>
      <xdr:col>3</xdr:col>
      <xdr:colOff>3357570</xdr:colOff>
      <xdr:row>4</xdr:row>
      <xdr:rowOff>5335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346" y="309563"/>
          <a:ext cx="2286005" cy="4815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1071566</xdr:colOff>
      <xdr:row>1</xdr:row>
      <xdr:rowOff>107155</xdr:rowOff>
    </xdr:from>
    <xdr:to>
      <xdr:col>4</xdr:col>
      <xdr:colOff>3357571</xdr:colOff>
      <xdr:row>4</xdr:row>
      <xdr:rowOff>5333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347" y="309561"/>
          <a:ext cx="2286005" cy="4815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1012033</xdr:colOff>
      <xdr:row>1</xdr:row>
      <xdr:rowOff>107158</xdr:rowOff>
    </xdr:from>
    <xdr:to>
      <xdr:col>4</xdr:col>
      <xdr:colOff>1273975</xdr:colOff>
      <xdr:row>4</xdr:row>
      <xdr:rowOff>5336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6814" y="309564"/>
          <a:ext cx="2286005" cy="4815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1047754</xdr:colOff>
      <xdr:row>1</xdr:row>
      <xdr:rowOff>107158</xdr:rowOff>
    </xdr:from>
    <xdr:to>
      <xdr:col>5</xdr:col>
      <xdr:colOff>1309696</xdr:colOff>
      <xdr:row>4</xdr:row>
      <xdr:rowOff>5336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535" y="309564"/>
          <a:ext cx="2286005" cy="4815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488156</xdr:colOff>
      <xdr:row>1</xdr:row>
      <xdr:rowOff>71436</xdr:rowOff>
    </xdr:from>
    <xdr:to>
      <xdr:col>2</xdr:col>
      <xdr:colOff>2774161</xdr:colOff>
      <xdr:row>3</xdr:row>
      <xdr:rowOff>160114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937" y="273842"/>
          <a:ext cx="2286005" cy="48158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678656</xdr:colOff>
      <xdr:row>1</xdr:row>
      <xdr:rowOff>71438</xdr:rowOff>
    </xdr:from>
    <xdr:to>
      <xdr:col>3</xdr:col>
      <xdr:colOff>2962280</xdr:colOff>
      <xdr:row>3</xdr:row>
      <xdr:rowOff>157734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37" y="273844"/>
          <a:ext cx="2283624" cy="47920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619126</xdr:colOff>
      <xdr:row>1</xdr:row>
      <xdr:rowOff>59532</xdr:rowOff>
    </xdr:from>
    <xdr:to>
      <xdr:col>4</xdr:col>
      <xdr:colOff>2902750</xdr:colOff>
      <xdr:row>3</xdr:row>
      <xdr:rowOff>145828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907" y="261938"/>
          <a:ext cx="2283624" cy="47920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1071562</xdr:colOff>
      <xdr:row>1</xdr:row>
      <xdr:rowOff>107156</xdr:rowOff>
    </xdr:from>
    <xdr:to>
      <xdr:col>4</xdr:col>
      <xdr:colOff>1333504</xdr:colOff>
      <xdr:row>4</xdr:row>
      <xdr:rowOff>5334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343" y="309562"/>
          <a:ext cx="2286005" cy="48158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107156</xdr:colOff>
      <xdr:row>1</xdr:row>
      <xdr:rowOff>119063</xdr:rowOff>
    </xdr:from>
    <xdr:to>
      <xdr:col>1</xdr:col>
      <xdr:colOff>1178718</xdr:colOff>
      <xdr:row>1</xdr:row>
      <xdr:rowOff>344806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719" y="309563"/>
          <a:ext cx="1071562" cy="22574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00000000}" name="DataT" displayName="DataT" ref="B15:AA16" totalsRowShown="0" headerRowDxfId="544" dataDxfId="542" headerRowBorderDxfId="543" dataCellStyle="Percent">
  <autoFilter ref="B15:AA16" xr:uid="{00000000-0009-0000-0100-000021000000}"/>
  <tableColumns count="26">
    <tableColumn id="74" xr3:uid="{00000000-0010-0000-0000-00004A000000}" name="Region (Team)" dataDxfId="541">
      <calculatedColumnFormula>IFERROR(
IF(DataT[[#Headers],[Region (Team)]]="Brand",VLOOKUP(DataT[[#This Row],[Campaign]],Map_Campaign[],2,0),
IF(DataT[[#Headers],[Region (Team)]]="Region (Team)",VLOOKUP(DataT[[#This Row],[Team]],Map_Team[],2,0),
IF(DataT[[#Headers],[Region (Team)]]="Region (Campaign)",VLOOKUP(DataT[[#This Row],[Campaign]],Map_Campaign[],3,0),
IF(DataT[[#Headers],[Region (Team)]]="Partner Type",VLOOKUP(DataT[[#This Row],[Partner]],Map_Partner[],2,0),
IF(DataT[[#Headers],[Region (Team)]]="Device Type",VLOOKUP(DataT[[#This Row],[Placement]],Map_Placement[],3,0),
IF(DataT[[#Headers],[Region (Team)]]="Creative Size",VLOOKUP(DataT[[#This Row],[Placement]],Map_Placement[],2,0),"Not a mapping option.")))))),
"[Unmapped]")</calculatedColumnFormula>
    </tableColumn>
    <tableColumn id="73" xr3:uid="{00000000-0010-0000-0000-000049000000}" name="Team" dataDxfId="540"/>
    <tableColumn id="71" xr3:uid="{00000000-0010-0000-0000-000047000000}" name="Campaign" dataDxfId="539"/>
    <tableColumn id="18" xr3:uid="{00000000-0010-0000-0000-000012000000}" name="Partner" dataDxfId="538"/>
    <tableColumn id="38" xr3:uid="{00000000-0010-0000-0000-000026000000}" name="Placement" dataDxfId="537"/>
    <tableColumn id="122" xr3:uid="{00000000-0010-0000-0000-00007A000000}" name="Device Type" dataDxfId="536"/>
    <tableColumn id="75" xr3:uid="{00000000-0010-0000-0000-00004B000000}" name="Blocking Status" dataDxfId="535"/>
    <tableColumn id="72" xr3:uid="{00000000-0010-0000-0000-000048000000}" name="Measured Impressions" dataDxfId="534" dataCellStyle="Comma"/>
    <tableColumn id="4" xr3:uid="{00000000-0010-0000-0000-000004000000}" name="Total Impressions" dataDxfId="533" dataCellStyle="Comma"/>
    <tableColumn id="5" xr3:uid="{00000000-0010-0000-0000-000005000000}" name="Measured Rate _x000a_[% Measured]" dataDxfId="532" dataCellStyle="Percent"/>
    <tableColumn id="6" xr3:uid="{00000000-0010-0000-0000-000006000000}" name="See-Through Rate _x000a_[% Visible]" dataDxfId="531" dataCellStyle="Percent"/>
    <tableColumn id="77" xr3:uid="{00000000-0010-0000-0000-00004D000000}" name="Brand Safety _x000a_[% Passed]" dataDxfId="530" dataCellStyle="Percent"/>
    <tableColumn id="41" xr3:uid="{00000000-0010-0000-0000-000029000000}" name="Brand Safety _x000a_[% Failed]" dataDxfId="529" dataCellStyle="Percent"/>
    <tableColumn id="60" xr3:uid="{00000000-0010-0000-0000-00003C000000}" name="Brand Safety _x000a_[% Failed by Content]" dataDxfId="528" dataCellStyle="Percent"/>
    <tableColumn id="63" xr3:uid="{00000000-0010-0000-0000-00003F000000}" name="Brand Safety _x000a_[% Failed by Geo]" dataDxfId="527" dataCellStyle="Percent"/>
    <tableColumn id="7" xr3:uid="{00000000-0010-0000-0000-000007000000}" name="Brand Safety _x000a_[% Failed by Keyword]" dataDxfId="526" dataCellStyle="Percent"/>
    <tableColumn id="8" xr3:uid="{00000000-0010-0000-0000-000008000000}" name="Brand Safety _x000a_[% Failed by Blacklist]" dataDxfId="525" dataCellStyle="Percent"/>
    <tableColumn id="9" xr3:uid="{00000000-0010-0000-0000-000009000000}" name="Brand Safety _x000a_[% Failed by Language]" dataDxfId="524" dataCellStyle="Percent"/>
    <tableColumn id="10" xr3:uid="{00000000-0010-0000-0000-00000A000000}" name="Fraud _x000a_[% Fraud]" dataDxfId="523" dataCellStyle="Percent"/>
    <tableColumn id="11" xr3:uid="{00000000-0010-0000-0000-00000B000000}" name="Viewability _x000a_[Total Viewable Rate (Total Net Metrics)]" dataDxfId="522" dataCellStyle="Percent"/>
    <tableColumn id="2" xr3:uid="{00000000-0010-0000-0000-000002000000}" name="Display Viewability _x000a_[Total Viewable Rate (Total Net Metrics)]" dataDxfId="521" dataCellStyle="Percent"/>
    <tableColumn id="78" xr3:uid="{00000000-0010-0000-0000-00004E000000}" name="Video Viewability _x000a_[Total Viewable Rate (Total Net Metrics)]" dataDxfId="520" dataCellStyle="Percent"/>
    <tableColumn id="12" xr3:uid="{00000000-0010-0000-0000-00000C000000}" name="GroupM Viewability _x000a_[% Display Ads Fully in View]" dataDxfId="519" dataCellStyle="Percent"/>
    <tableColumn id="76" xr3:uid="{00000000-0010-0000-0000-00004C000000}" name="GroupM Viewability _x000a_[% Videos Fully in View]" dataDxfId="518" dataCellStyle="Percent"/>
    <tableColumn id="3" xr3:uid="{00000000-0010-0000-0000-000003000000}" name="Publicis Viewability _x000a_[% Display Ads Fully in View]" dataDxfId="517" dataCellStyle="Percent"/>
    <tableColumn id="13" xr3:uid="{00000000-0010-0000-0000-00000D000000}" name="Publicis Viewability _x000a_[% Videos Fully in View]" dataDxfId="516" dataCellStyle="Percent"/>
  </tableColumns>
  <tableStyleInfo name="New IAS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01000000}" name="BenchmarksT" displayName="BenchmarksT" ref="K6:AA13" totalsRowShown="0" headerRowDxfId="515" dataDxfId="514">
  <autoFilter ref="K6:AA13" xr:uid="{00000000-0009-0000-0100-000022000000}"/>
  <tableColumns count="17">
    <tableColumn id="1" xr3:uid="{00000000-0010-0000-0100-000001000000}" name="Measured Rate _x000a_[% Measured]" dataDxfId="513"/>
    <tableColumn id="2" xr3:uid="{00000000-0010-0000-0100-000002000000}" name="See-Through Rate _x000a_[% Visible]" dataDxfId="512"/>
    <tableColumn id="25" xr3:uid="{00000000-0010-0000-0100-000019000000}" name="Brand Safety _x000a_[% Passed]" dataDxfId="511">
      <calculatedColumnFormula array="1">SUM(
(DataT[Brand Safety 
'[% Passed']]&lt;&gt;"NULL")*
DataT[Brand Safety 
'[% Passed']]*SUBTOTAL(9,OFFSET(DataT[Total Impressions],ROW(DataT[Total Impressions])-MIN(ROW(DataT[Total Impressions])),0,1)))
/
SUM(
(DataT[Brand Safety 
'[% Passed']]&lt;&gt;"NULL")*
SUBTOTAL(9,OFFSET(DataT[Total Impressions],ROW(DataT[Total Impressions])-MIN(ROW(DataT[Total Impressions])),0,1)))</calculatedColumnFormula>
    </tableColumn>
    <tableColumn id="23" xr3:uid="{00000000-0010-0000-0100-000017000000}" name="Brand Safety _x000a_[% Failed]" dataDxfId="510"/>
    <tableColumn id="36" xr3:uid="{00000000-0010-0000-0100-000024000000}" name="Brand Safety _x000a_[% Failed by Content]" dataDxfId="509"/>
    <tableColumn id="16" xr3:uid="{00000000-0010-0000-0100-000010000000}" name="Brand Safety _x000a_[% Failed by Geo]" dataDxfId="508"/>
    <tableColumn id="3" xr3:uid="{00000000-0010-0000-0100-000003000000}" name="Brand Safety _x000a_[% Failed by Keyword]" dataDxfId="507"/>
    <tableColumn id="4" xr3:uid="{00000000-0010-0000-0100-000004000000}" name="Brand Safety _x000a_[% Failed by Blacklist]" dataDxfId="506"/>
    <tableColumn id="5" xr3:uid="{00000000-0010-0000-0100-000005000000}" name="Brand Safety _x000a_[% Failed by Language]" dataDxfId="505"/>
    <tableColumn id="6" xr3:uid="{00000000-0010-0000-0100-000006000000}" name="Fraud _x000a_[% Fraud]" dataDxfId="504"/>
    <tableColumn id="7" xr3:uid="{00000000-0010-0000-0100-000007000000}" name="Viewability _x000a_[Total Viewable Rate (Total Net Metrics)]" dataDxfId="503"/>
    <tableColumn id="8" xr3:uid="{00000000-0010-0000-0100-000008000000}" name="Display Viewability _x000a_[Total Viewable Rate (Total Net Metrics)]" dataDxfId="502"/>
    <tableColumn id="26" xr3:uid="{00000000-0010-0000-0100-00001A000000}" name="Video Viewability _x000a_[Total Viewable Rate (Total Net Metrics)]" dataDxfId="501">
      <calculatedColumnFormula array="1">SUM(
IF(DataT[Video Viewability 
'[Total Viewable Rate (Total Net Metrics)']]&lt;&gt;"NULL",
IF(DataT[Region (Team)]=ColumnT[[#This Row],[Metric]],
DataT[Video Viewability 
'[Total Viewable Rate (Total Net Metrics)']]*
SUBTOTAL(9,OFFSET(DataT[Total Impressions],ROW(DataT[Total Impressions])-MIN(ROW(DataT[Total Impressions])),0,1)))))
/
SUM(
IF(DataT[Video Viewability 
'[Total Viewable Rate (Total Net Metrics)']]&lt;&gt;"NULL",
IF(DataT[Region (Team)]=ColumnT[[#This Row],[Metric]],
SUBTOTAL(9,OFFSET(DataT[Total Impressions],ROW(DataT[Total Impressions])-MIN(ROW(DataT[Total Impressions])),0,1)))))</calculatedColumnFormula>
    </tableColumn>
    <tableColumn id="9" xr3:uid="{00000000-0010-0000-0100-000009000000}" name="GroupM Viewability _x000a_[% Display Ads Fully in View]" dataDxfId="500"/>
    <tableColumn id="24" xr3:uid="{00000000-0010-0000-0100-000018000000}" name="GroupM Viewability _x000a_[% Videos Fully in View]" dataDxfId="499"/>
    <tableColumn id="10" xr3:uid="{00000000-0010-0000-0100-00000A000000}" name="Publicis Viewability _x000a_[% Display Ads Fully in View]" dataDxfId="498"/>
    <tableColumn id="11" xr3:uid="{00000000-0010-0000-0100-00000B000000}" name="Publicis Viewability _x000a_[% Videos Fully in View]" dataDxfId="497"/>
  </tableColumns>
  <tableStyleInfo name="New IAS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02000000}" name="ColumnT" displayName="ColumnT" ref="J6:J13" totalsRowShown="0" headerRowDxfId="496" dataDxfId="494" headerRowBorderDxfId="495" tableBorderDxfId="493">
  <autoFilter ref="J6:J13" xr:uid="{00000000-0009-0000-0100-000023000000}"/>
  <tableColumns count="1">
    <tableColumn id="1" xr3:uid="{00000000-0010-0000-0200-000001000000}" name="Metric" dataDxfId="492"/>
  </tableColumns>
  <tableStyleInfo name="New IAS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DataC" displayName="DataC" ref="B15:AA42" totalsRowShown="0" headerRowDxfId="483" dataDxfId="481" headerRowBorderDxfId="482" dataCellStyle="Percent">
  <autoFilter ref="B15:AA42" xr:uid="{00000000-0009-0000-0100-000005000000}"/>
  <tableColumns count="26">
    <tableColumn id="74" xr3:uid="{00000000-0010-0000-0300-00004A000000}" name="Brand" dataDxfId="480"/>
    <tableColumn id="73" xr3:uid="{00000000-0010-0000-0300-000049000000}" name="Team" dataDxfId="479"/>
    <tableColumn id="71" xr3:uid="{00000000-0010-0000-0300-000047000000}" name="Campaign" dataDxfId="478"/>
    <tableColumn id="18" xr3:uid="{00000000-0010-0000-0300-000012000000}" name="Partner" dataDxfId="477"/>
    <tableColumn id="38" xr3:uid="{00000000-0010-0000-0300-000026000000}" name="Placement" dataDxfId="476"/>
    <tableColumn id="122" xr3:uid="{00000000-0010-0000-0300-00007A000000}" name="Device Type" dataDxfId="475"/>
    <tableColumn id="75" xr3:uid="{00000000-0010-0000-0300-00004B000000}" name="Blocking Status" dataDxfId="474"/>
    <tableColumn id="72" xr3:uid="{00000000-0010-0000-0300-000048000000}" name="Measured Impressions" dataDxfId="473" dataCellStyle="Comma"/>
    <tableColumn id="4" xr3:uid="{00000000-0010-0000-0300-000004000000}" name="Total Impressions" dataDxfId="472" dataCellStyle="Comma"/>
    <tableColumn id="5" xr3:uid="{00000000-0010-0000-0300-000005000000}" name="Measured Rate _x000a_[% Measured]" dataDxfId="471" dataCellStyle="Percent"/>
    <tableColumn id="6" xr3:uid="{00000000-0010-0000-0300-000006000000}" name="See-Through Rate _x000a_[% Visible]" dataDxfId="470" dataCellStyle="Percent"/>
    <tableColumn id="77" xr3:uid="{00000000-0010-0000-0300-00004D000000}" name="Brand Safety _x000a_[% Passed]" dataDxfId="469" dataCellStyle="Percent"/>
    <tableColumn id="41" xr3:uid="{00000000-0010-0000-0300-000029000000}" name="Brand Safety _x000a_[% Failed]" dataDxfId="468" dataCellStyle="Percent"/>
    <tableColumn id="60" xr3:uid="{00000000-0010-0000-0300-00003C000000}" name="Brand Safety _x000a_[% Failed by Content]" dataDxfId="467" dataCellStyle="Percent"/>
    <tableColumn id="63" xr3:uid="{00000000-0010-0000-0300-00003F000000}" name="Brand Safety _x000a_[% Failed by Geo]" dataDxfId="466" dataCellStyle="Percent"/>
    <tableColumn id="7" xr3:uid="{00000000-0010-0000-0300-000007000000}" name="Brand Safety _x000a_[% Failed by Keyword]" dataDxfId="465" dataCellStyle="Percent"/>
    <tableColumn id="8" xr3:uid="{00000000-0010-0000-0300-000008000000}" name="Brand Safety _x000a_[% Failed by Blacklist]" dataDxfId="464" dataCellStyle="Percent"/>
    <tableColumn id="9" xr3:uid="{00000000-0010-0000-0300-000009000000}" name="Brand Safety _x000a_[% Failed by Language]" dataDxfId="463" dataCellStyle="Percent"/>
    <tableColumn id="10" xr3:uid="{00000000-0010-0000-0300-00000A000000}" name="Fraud _x000a_[% Fraud]" dataDxfId="462" dataCellStyle="Percent"/>
    <tableColumn id="11" xr3:uid="{00000000-0010-0000-0300-00000B000000}" name="Viewability _x000a_[Total Viewable Rate (Total Net Metrics)]" dataDxfId="461" dataCellStyle="Percent"/>
    <tableColumn id="2" xr3:uid="{00000000-0010-0000-0300-000002000000}" name="Display Viewability _x000a_[Total Viewable Rate (Total Net Metrics)]" dataDxfId="460" dataCellStyle="Percent"/>
    <tableColumn id="78" xr3:uid="{00000000-0010-0000-0300-00004E000000}" name="Video Viewability _x000a_[Total Viewable Rate (Total Net Metrics)]" dataDxfId="459" dataCellStyle="Percent"/>
    <tableColumn id="12" xr3:uid="{00000000-0010-0000-0300-00000C000000}" name="GroupM Viewability _x000a_[% Display Ads Fully in View]" dataDxfId="458" dataCellStyle="Percent"/>
    <tableColumn id="76" xr3:uid="{00000000-0010-0000-0300-00004C000000}" name="GroupM Viewability _x000a_[% Videos Fully in View]" dataDxfId="457" dataCellStyle="Percent"/>
    <tableColumn id="3" xr3:uid="{00000000-0010-0000-0300-000003000000}" name="Publicis Viewability _x000a_[% Display Ads Fully in View]" dataDxfId="456" dataCellStyle="Percent"/>
    <tableColumn id="13" xr3:uid="{00000000-0010-0000-0300-00000D000000}" name="Publicis Viewability _x000a_[% Videos Fully in View]" dataDxfId="455" dataCellStyle="Percent"/>
  </tableColumns>
  <tableStyleInfo name="New IAS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BenchmarksC" displayName="BenchmarksC" ref="K6:AA13" totalsRowShown="0" headerRowDxfId="454" dataDxfId="453">
  <autoFilter ref="K6:AA13" xr:uid="{00000000-0009-0000-0100-000006000000}"/>
  <tableColumns count="17">
    <tableColumn id="1" xr3:uid="{00000000-0010-0000-0400-000001000000}" name="Measured Rate _x000a_[% Measured]" dataDxfId="452"/>
    <tableColumn id="2" xr3:uid="{00000000-0010-0000-0400-000002000000}" name="See-Through Rate _x000a_[% Visible]" dataDxfId="451"/>
    <tableColumn id="25" xr3:uid="{00000000-0010-0000-0400-000019000000}" name="Brand Safety _x000a_[% Passed]" dataDxfId="450">
      <calculatedColumnFormula array="1">SUM(
(DataC[Brand Safety 
'[% Passed']]&lt;&gt;"NULL")*
DataC[Brand Safety 
'[% Passed']]*SUBTOTAL(9,OFFSET(DataC[Total Impressions],ROW(DataC[Total Impressions])-MIN(ROW(DataC[Total Impressions])),0,1)))
/
SUM(
(DataC[Brand Safety 
'[% Passed']]&lt;&gt;"NULL")*
SUBTOTAL(9,OFFSET(DataC[Total Impressions],ROW(DataC[Total Impressions])-MIN(ROW(DataC[Total Impressions])),0,1)))</calculatedColumnFormula>
    </tableColumn>
    <tableColumn id="23" xr3:uid="{00000000-0010-0000-0400-000017000000}" name="Brand Safety _x000a_[% Failed]" dataDxfId="449"/>
    <tableColumn id="36" xr3:uid="{00000000-0010-0000-0400-000024000000}" name="Brand Safety _x000a_[% Failed by Content]" dataDxfId="448"/>
    <tableColumn id="16" xr3:uid="{00000000-0010-0000-0400-000010000000}" name="Brand Safety _x000a_[% Failed by Geo]" dataDxfId="447"/>
    <tableColumn id="3" xr3:uid="{00000000-0010-0000-0400-000003000000}" name="Brand Safety _x000a_[% Failed by Keyword]" dataDxfId="446"/>
    <tableColumn id="4" xr3:uid="{00000000-0010-0000-0400-000004000000}" name="Brand Safety _x000a_[% Failed by Blacklist]" dataDxfId="445"/>
    <tableColumn id="5" xr3:uid="{00000000-0010-0000-0400-000005000000}" name="Brand Safety _x000a_[% Failed by Language]" dataDxfId="444"/>
    <tableColumn id="6" xr3:uid="{00000000-0010-0000-0400-000006000000}" name="Fraud _x000a_[% Fraud]" dataDxfId="443"/>
    <tableColumn id="7" xr3:uid="{00000000-0010-0000-0400-000007000000}" name="Viewability _x000a_[Total Viewable Rate (Total Net Metrics)]" dataDxfId="442"/>
    <tableColumn id="8" xr3:uid="{00000000-0010-0000-0400-000008000000}" name="Display Viewability _x000a_[Total Viewable Rate (Total Net Metrics)]" dataDxfId="441"/>
    <tableColumn id="26" xr3:uid="{00000000-0010-0000-0400-00001A000000}" name="Video Viewability _x000a_[Total Viewable Rate (Total Net Metrics)]" dataDxfId="440">
      <calculatedColumnFormula array="1">SUM(
IF(DataC[Video Viewability 
'[Total Viewable Rate (Total Net Metrics)']]&lt;&gt;"NULL",
IF(DataC[Brand]=#REF!,
DataC[Video Viewability 
'[Total Viewable Rate (Total Net Metrics)']]*
SUBTOTAL(9,OFFSET(DataC[Total Impressions],ROW(DataC[Total Impressions])-MIN(ROW(DataC[Total Impressions])),0,1)))))
/
SUM(
IF(DataC[Video Viewability 
'[Total Viewable Rate (Total Net Metrics)']]&lt;&gt;"NULL",
IF(DataC[Brand]=#REF!,
SUBTOTAL(9,OFFSET(DataC[Total Impressions],ROW(DataC[Total Impressions])-MIN(ROW(DataC[Total Impressions])),0,1)))))</calculatedColumnFormula>
    </tableColumn>
    <tableColumn id="9" xr3:uid="{00000000-0010-0000-0400-000009000000}" name="GroupM Viewability _x000a_[% Display Ads Fully in View]" dataDxfId="439"/>
    <tableColumn id="24" xr3:uid="{00000000-0010-0000-0400-000018000000}" name="GroupM Viewability _x000a_[% Videos Fully in View]" dataDxfId="438"/>
    <tableColumn id="10" xr3:uid="{00000000-0010-0000-0400-00000A000000}" name="Publicis Viewability _x000a_[% Display Ads Fully in View]" dataDxfId="437"/>
    <tableColumn id="11" xr3:uid="{00000000-0010-0000-0400-00000B000000}" name="Publicis Viewability _x000a_[% Videos Fully in View]" dataDxfId="436"/>
  </tableColumns>
  <tableStyleInfo name="New IAS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05000000}" name="ColumnC" displayName="ColumnC" ref="J6:J13" totalsRowShown="0" headerRowDxfId="435" dataDxfId="433" headerRowBorderDxfId="434" tableBorderDxfId="432">
  <autoFilter ref="J6:J13" xr:uid="{00000000-0009-0000-0100-000024000000}"/>
  <tableColumns count="1">
    <tableColumn id="1" xr3:uid="{00000000-0010-0000-0500-000001000000}" name="Metric" dataDxfId="431"/>
  </tableColumns>
  <tableStyleInfo name="New IAS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DataP" displayName="DataP" ref="B15:AA35" totalsRowShown="0" headerRowDxfId="423" dataDxfId="421" headerRowBorderDxfId="422" dataCellStyle="Percent">
  <autoFilter ref="B15:AA35" xr:uid="{00000000-0009-0000-0100-000001000000}"/>
  <tableColumns count="26">
    <tableColumn id="74" xr3:uid="{00000000-0010-0000-0600-00004A000000}" name="Partner Type" dataDxfId="420"/>
    <tableColumn id="73" xr3:uid="{00000000-0010-0000-0600-000049000000}" name="Team" dataDxfId="419"/>
    <tableColumn id="71" xr3:uid="{00000000-0010-0000-0600-000047000000}" name="Campaign" dataDxfId="418"/>
    <tableColumn id="18" xr3:uid="{00000000-0010-0000-0600-000012000000}" name="Partner" dataDxfId="417"/>
    <tableColumn id="38" xr3:uid="{00000000-0010-0000-0600-000026000000}" name="Placement" dataDxfId="416"/>
    <tableColumn id="121" xr3:uid="{00000000-0010-0000-0600-000079000000}" name="Device Type" dataDxfId="415"/>
    <tableColumn id="75" xr3:uid="{00000000-0010-0000-0600-00004B000000}" name="Blocking Status" dataDxfId="414"/>
    <tableColumn id="72" xr3:uid="{00000000-0010-0000-0600-000048000000}" name="Measured Impressions" dataDxfId="413" dataCellStyle="Comma"/>
    <tableColumn id="4" xr3:uid="{00000000-0010-0000-0600-000004000000}" name="Total Impressions" dataDxfId="412" dataCellStyle="Comma"/>
    <tableColumn id="5" xr3:uid="{00000000-0010-0000-0600-000005000000}" name="Measured Rate _x000a_[% Measured]" dataDxfId="411" dataCellStyle="Percent"/>
    <tableColumn id="6" xr3:uid="{00000000-0010-0000-0600-000006000000}" name="See-Through Rate _x000a_[% Visible]" dataDxfId="410" dataCellStyle="Percent"/>
    <tableColumn id="77" xr3:uid="{00000000-0010-0000-0600-00004D000000}" name="Brand Safety _x000a_[% Passed]" dataDxfId="409" dataCellStyle="Percent"/>
    <tableColumn id="41" xr3:uid="{00000000-0010-0000-0600-000029000000}" name="Brand Safety _x000a_[% Failed]" dataDxfId="408" dataCellStyle="Percent"/>
    <tableColumn id="60" xr3:uid="{00000000-0010-0000-0600-00003C000000}" name="Brand Safety _x000a_[% Failed by Content]" dataDxfId="407" dataCellStyle="Percent"/>
    <tableColumn id="63" xr3:uid="{00000000-0010-0000-0600-00003F000000}" name="Brand Safety _x000a_[% Failed by Geo]" dataDxfId="406" dataCellStyle="Percent"/>
    <tableColumn id="7" xr3:uid="{00000000-0010-0000-0600-000007000000}" name="Brand Safety _x000a_[% Failed by Keyword]" dataDxfId="405" dataCellStyle="Percent"/>
    <tableColumn id="8" xr3:uid="{00000000-0010-0000-0600-000008000000}" name="Brand Safety _x000a_[% Failed by Blacklist]" dataDxfId="404" dataCellStyle="Percent"/>
    <tableColumn id="9" xr3:uid="{00000000-0010-0000-0600-000009000000}" name="Brand Safety _x000a_[% Failed by Language]" dataDxfId="403" dataCellStyle="Percent"/>
    <tableColumn id="10" xr3:uid="{00000000-0010-0000-0600-00000A000000}" name="Fraud _x000a_[% Fraud]" dataDxfId="402" dataCellStyle="Percent"/>
    <tableColumn id="11" xr3:uid="{00000000-0010-0000-0600-00000B000000}" name="Viewability _x000a_[Total Viewable Rate (Total Net Metrics)]" dataDxfId="401" dataCellStyle="Percent"/>
    <tableColumn id="2" xr3:uid="{00000000-0010-0000-0600-000002000000}" name="Display Viewability _x000a_[Total Viewable Rate (Total Net Metrics)]" dataDxfId="400" dataCellStyle="Percent"/>
    <tableColumn id="78" xr3:uid="{00000000-0010-0000-0600-00004E000000}" name="Video Viewability _x000a_[Total Viewable Rate (Total Net Metrics)]" dataDxfId="399" dataCellStyle="Percent"/>
    <tableColumn id="12" xr3:uid="{00000000-0010-0000-0600-00000C000000}" name="GroupM Viewability _x000a_[% Display Ads Fully in View]" dataDxfId="398" dataCellStyle="Percent"/>
    <tableColumn id="76" xr3:uid="{00000000-0010-0000-0600-00004C000000}" name="GroupM Viewability _x000a_[% Videos Fully in View]" dataDxfId="397" dataCellStyle="Percent"/>
    <tableColumn id="3" xr3:uid="{00000000-0010-0000-0600-000003000000}" name="Publicis Viewability _x000a_[% Display Ads Fully in View]" dataDxfId="396" dataCellStyle="Percent"/>
    <tableColumn id="13" xr3:uid="{00000000-0010-0000-0600-00000D000000}" name="Publicis Viewability _x000a_[% Videos Fully in View]" dataDxfId="395" dataCellStyle="Percent"/>
  </tableColumns>
  <tableStyleInfo name="New IAS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7000000}" name="BenchmarksP" displayName="BenchmarksP" ref="K6:AA13" totalsRowShown="0" headerRowDxfId="394" dataDxfId="393">
  <autoFilter ref="K6:AA13" xr:uid="{00000000-0009-0000-0100-000002000000}"/>
  <tableColumns count="17">
    <tableColumn id="1" xr3:uid="{00000000-0010-0000-0700-000001000000}" name="Measured Rate _x000a_[% Measured]" dataDxfId="392"/>
    <tableColumn id="2" xr3:uid="{00000000-0010-0000-0700-000002000000}" name="See-Through Rate _x000a_[% Visible]" dataDxfId="391"/>
    <tableColumn id="25" xr3:uid="{00000000-0010-0000-0700-000019000000}" name="Brand Safety _x000a_[% Passed]" dataDxfId="390">
      <calculatedColumnFormula array="1">SUM(
(DataP[Brand Safety 
'[% Passed']]&lt;&gt;"NULL")*
DataP[Brand Safety 
'[% Passed']]*SUBTOTAL(9,OFFSET(DataP[Total Impressions],ROW(DataP[Total Impressions])-MIN(ROW(DataP[Total Impressions])),0,1)))
/
SUM(
(DataP[Brand Safety 
'[% Passed']]&lt;&gt;"NULL")*
SUBTOTAL(9,OFFSET(DataP[Total Impressions],ROW(DataP[Total Impressions])-MIN(ROW(DataP[Total Impressions])),0,1)))</calculatedColumnFormula>
    </tableColumn>
    <tableColumn id="16" xr3:uid="{00000000-0010-0000-0700-000010000000}" name="Brand Safety _x000a_[% Failed]" dataDxfId="389"/>
    <tableColumn id="23" xr3:uid="{00000000-0010-0000-0700-000017000000}" name="Brand Safety _x000a_[% Failed by Content]" dataDxfId="388"/>
    <tableColumn id="36" xr3:uid="{00000000-0010-0000-0700-000024000000}" name="Brand Safety _x000a_[% Failed by Geo]" dataDxfId="387"/>
    <tableColumn id="3" xr3:uid="{00000000-0010-0000-0700-000003000000}" name="Brand Safety _x000a_[% Failed by Keyword]" dataDxfId="386"/>
    <tableColumn id="4" xr3:uid="{00000000-0010-0000-0700-000004000000}" name="Brand Safety _x000a_[% Failed by Blacklist]" dataDxfId="385"/>
    <tableColumn id="5" xr3:uid="{00000000-0010-0000-0700-000005000000}" name="Brand Safety _x000a_[% Failed by Language]" dataDxfId="384"/>
    <tableColumn id="6" xr3:uid="{00000000-0010-0000-0700-000006000000}" name="Fraud _x000a_[% Fraud]" dataDxfId="383"/>
    <tableColumn id="7" xr3:uid="{00000000-0010-0000-0700-000007000000}" name="Viewability _x000a_[Total Viewable Rate (Total Net Metrics)]" dataDxfId="382"/>
    <tableColumn id="8" xr3:uid="{00000000-0010-0000-0700-000008000000}" name="Display Viewability _x000a_[Total Viewable Rate (Total Net Metrics)]" dataDxfId="381"/>
    <tableColumn id="26" xr3:uid="{00000000-0010-0000-0700-00001A000000}" name="Video Viewability _x000a_[Total Viewable Rate (Total Net Metrics)]" dataDxfId="380">
      <calculatedColumnFormula array="1">SUM(
IF(DataP[Video Viewability 
'[Total Viewable Rate (Total Net Metrics)']]&lt;&gt;"NULL",
IF(DataP[Partner Type]=#REF!,
DataP[Video Viewability 
'[Total Viewable Rate (Total Net Metrics)']]*
SUBTOTAL(9,OFFSET(DataP[Total Impressions],ROW(DataP[Total Impressions])-MIN(ROW(DataP[Total Impressions])),0,1)))))
/
SUM(
IF(DataP[Video Viewability 
'[Total Viewable Rate (Total Net Metrics)']]&lt;&gt;"NULL",
IF(DataP[Partner Type]=#REF!,
SUBTOTAL(9,OFFSET(DataP[Total Impressions],ROW(DataP[Total Impressions])-MIN(ROW(DataP[Total Impressions])),0,1)))))</calculatedColumnFormula>
    </tableColumn>
    <tableColumn id="9" xr3:uid="{00000000-0010-0000-0700-000009000000}" name="GroupM Viewability _x000a_[% Display Ads Fully in View]" dataDxfId="379"/>
    <tableColumn id="24" xr3:uid="{00000000-0010-0000-0700-000018000000}" name="GroupM Viewability _x000a_[% Videos Fully in View]" dataDxfId="378"/>
    <tableColumn id="10" xr3:uid="{00000000-0010-0000-0700-00000A000000}" name="Publicis Viewability _x000a_[% Display Ads Fully in View]" dataDxfId="377"/>
    <tableColumn id="11" xr3:uid="{00000000-0010-0000-0700-00000B000000}" name="Publicis Viewability _x000a_[% Videos Fully in View]" dataDxfId="376"/>
  </tableColumns>
  <tableStyleInfo name="New IAS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08000000}" name="ColumnP" displayName="ColumnP" ref="J6:J13" totalsRowShown="0" headerRowDxfId="375" dataDxfId="373" headerRowBorderDxfId="374" tableBorderDxfId="372">
  <autoFilter ref="J6:J13" xr:uid="{00000000-0009-0000-0100-000025000000}"/>
  <tableColumns count="1">
    <tableColumn id="1" xr3:uid="{00000000-0010-0000-0800-000001000000}" name="Metric" dataDxfId="371"/>
  </tableColumns>
  <tableStyleInfo name="New IAS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9000000}" name="DataCP" displayName="DataCP" ref="B15:AA65" totalsRowShown="0" headerRowDxfId="363" dataDxfId="361" headerRowBorderDxfId="362" dataCellStyle="Percent">
  <autoFilter ref="B15:AA65" xr:uid="{00000000-0009-0000-0100-000008000000}"/>
  <tableColumns count="26">
    <tableColumn id="74" xr3:uid="{00000000-0010-0000-0900-00004A000000}" name="Brand" dataDxfId="360"/>
    <tableColumn id="73" xr3:uid="{00000000-0010-0000-0900-000049000000}" name="Team" dataDxfId="359"/>
    <tableColumn id="71" xr3:uid="{00000000-0010-0000-0900-000047000000}" name="Campaign" dataDxfId="358"/>
    <tableColumn id="18" xr3:uid="{00000000-0010-0000-0900-000012000000}" name="Partner" dataDxfId="357"/>
    <tableColumn id="38" xr3:uid="{00000000-0010-0000-0900-000026000000}" name="Placement" dataDxfId="356"/>
    <tableColumn id="122" xr3:uid="{00000000-0010-0000-0900-00007A000000}" name="Device Type" dataDxfId="355"/>
    <tableColumn id="75" xr3:uid="{00000000-0010-0000-0900-00004B000000}" name="Blocking Status" dataDxfId="354"/>
    <tableColumn id="72" xr3:uid="{00000000-0010-0000-0900-000048000000}" name="Measured Impressions" dataDxfId="353" dataCellStyle="Comma"/>
    <tableColumn id="4" xr3:uid="{00000000-0010-0000-0900-000004000000}" name="Total Impressions" dataDxfId="352" dataCellStyle="Comma"/>
    <tableColumn id="5" xr3:uid="{00000000-0010-0000-0900-000005000000}" name="Measured Rate _x000a_[% Measured]" dataDxfId="351" dataCellStyle="Percent"/>
    <tableColumn id="6" xr3:uid="{00000000-0010-0000-0900-000006000000}" name="See-Through Rate _x000a_[% Visible]" dataDxfId="350" dataCellStyle="Percent"/>
    <tableColumn id="77" xr3:uid="{00000000-0010-0000-0900-00004D000000}" name="Brand Safety _x000a_[% Passed]" dataDxfId="349" dataCellStyle="Percent"/>
    <tableColumn id="41" xr3:uid="{00000000-0010-0000-0900-000029000000}" name="Brand Safety _x000a_[% Failed]" dataDxfId="348" dataCellStyle="Percent"/>
    <tableColumn id="60" xr3:uid="{00000000-0010-0000-0900-00003C000000}" name="Brand Safety _x000a_[% Failed by Content]" dataDxfId="347" dataCellStyle="Percent"/>
    <tableColumn id="63" xr3:uid="{00000000-0010-0000-0900-00003F000000}" name="Brand Safety _x000a_[% Failed by Geo]" dataDxfId="346" dataCellStyle="Percent"/>
    <tableColumn id="7" xr3:uid="{00000000-0010-0000-0900-000007000000}" name="Brand Safety _x000a_[% Failed by Keyword]" dataDxfId="345" dataCellStyle="Percent"/>
    <tableColumn id="8" xr3:uid="{00000000-0010-0000-0900-000008000000}" name="Brand Safety _x000a_[% Failed by Blacklist]" dataDxfId="344" dataCellStyle="Percent"/>
    <tableColumn id="9" xr3:uid="{00000000-0010-0000-0900-000009000000}" name="Brand Safety _x000a_[% Failed by Language]" dataDxfId="343" dataCellStyle="Percent"/>
    <tableColumn id="10" xr3:uid="{00000000-0010-0000-0900-00000A000000}" name="Fraud _x000a_[% Fraud]" dataDxfId="342" dataCellStyle="Percent"/>
    <tableColumn id="11" xr3:uid="{00000000-0010-0000-0900-00000B000000}" name="Viewability _x000a_[Total Viewable Rate (Total Net Metrics)]" dataDxfId="341" dataCellStyle="Percent"/>
    <tableColumn id="2" xr3:uid="{00000000-0010-0000-0900-000002000000}" name="Display Viewability _x000a_[Total Viewable Rate (Total Net Metrics)]" dataDxfId="340" dataCellStyle="Percent"/>
    <tableColumn id="78" xr3:uid="{00000000-0010-0000-0900-00004E000000}" name="Video Viewability _x000a_[Total Viewable Rate (Total Net Metrics)]" dataDxfId="339" dataCellStyle="Percent"/>
    <tableColumn id="12" xr3:uid="{00000000-0010-0000-0900-00000C000000}" name="GroupM Viewability _x000a_[% Display Ads Fully in View]" dataDxfId="338" dataCellStyle="Percent"/>
    <tableColumn id="76" xr3:uid="{00000000-0010-0000-0900-00004C000000}" name="GroupM Viewability _x000a_[% Videos Fully in View]" dataDxfId="337" dataCellStyle="Percent"/>
    <tableColumn id="3" xr3:uid="{00000000-0010-0000-0900-000003000000}" name="Publicis Viewability _x000a_[% Display Ads Fully in View]" dataDxfId="336" dataCellStyle="Percent"/>
    <tableColumn id="13" xr3:uid="{00000000-0010-0000-0900-00000D000000}" name="Publicis Viewability _x000a_[% Videos Fully in View]" dataDxfId="335" dataCellStyle="Percent"/>
  </tableColumns>
  <tableStyleInfo name="New IAS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BenchmarksCP" displayName="BenchmarksCP" ref="K6:AA13" totalsRowShown="0" headerRowDxfId="334" dataDxfId="333">
  <autoFilter ref="K6:AA13" xr:uid="{00000000-0009-0000-0100-00000A000000}"/>
  <tableColumns count="17">
    <tableColumn id="1" xr3:uid="{00000000-0010-0000-0A00-000001000000}" name="Measured Rate _x000a_[% Measured]" dataDxfId="332"/>
    <tableColumn id="2" xr3:uid="{00000000-0010-0000-0A00-000002000000}" name="See-Through Rate _x000a_[% Visible]" dataDxfId="331"/>
    <tableColumn id="25" xr3:uid="{00000000-0010-0000-0A00-000019000000}" name="Brand Safety _x000a_[% Passed]" dataDxfId="330">
      <calculatedColumnFormula array="1">SUM(
(DataCP[Brand Safety 
'[% Passed']]&lt;&gt;"NULL")*
DataCP[Brand Safety 
'[% Passed']]*SUBTOTAL(9,OFFSET(DataCP[Total Impressions],ROW(DataCP[Total Impressions])-MIN(ROW(DataCP[Total Impressions])),0,1)))
/
SUM(
(DataCP[Brand Safety 
'[% Passed']]&lt;&gt;"NULL")*
SUBTOTAL(9,OFFSET(DataCP[Total Impressions],ROW(DataCP[Total Impressions])-MIN(ROW(DataCP[Total Impressions])),0,1)))</calculatedColumnFormula>
    </tableColumn>
    <tableColumn id="23" xr3:uid="{00000000-0010-0000-0A00-000017000000}" name="Brand Safety _x000a_[% Failed]" dataDxfId="329"/>
    <tableColumn id="36" xr3:uid="{00000000-0010-0000-0A00-000024000000}" name="Brand Safety _x000a_[% Failed by Content]" dataDxfId="328"/>
    <tableColumn id="16" xr3:uid="{00000000-0010-0000-0A00-000010000000}" name="Brand Safety _x000a_[% Failed by Geo]" dataDxfId="327"/>
    <tableColumn id="3" xr3:uid="{00000000-0010-0000-0A00-000003000000}" name="Brand Safety _x000a_[% Failed by Keyword]" dataDxfId="326"/>
    <tableColumn id="4" xr3:uid="{00000000-0010-0000-0A00-000004000000}" name="Brand Safety _x000a_[% Failed by Blacklist]" dataDxfId="325"/>
    <tableColumn id="5" xr3:uid="{00000000-0010-0000-0A00-000005000000}" name="Brand Safety _x000a_[% Failed by Language]" dataDxfId="324"/>
    <tableColumn id="6" xr3:uid="{00000000-0010-0000-0A00-000006000000}" name="Fraud _x000a_[% Fraud]" dataDxfId="323"/>
    <tableColumn id="7" xr3:uid="{00000000-0010-0000-0A00-000007000000}" name="Viewability _x000a_[Total Viewable Rate (Total Net Metrics)]" dataDxfId="322"/>
    <tableColumn id="8" xr3:uid="{00000000-0010-0000-0A00-000008000000}" name="Display Viewability _x000a_[Total Viewable Rate (Total Net Metrics)]" dataDxfId="321"/>
    <tableColumn id="26" xr3:uid="{00000000-0010-0000-0A00-00001A000000}" name="Video Viewability _x000a_[Total Viewable Rate (Total Net Metrics)]" dataDxfId="320">
      <calculatedColumnFormula array="1">SUM(
IF(DataCP[Video Viewability 
'[Total Viewable Rate (Total Net Metrics)']]&lt;&gt;"NULL",
IF(DataCP[Brand]=#REF!,
DataCP[Video Viewability 
'[Total Viewable Rate (Total Net Metrics)']]*
SUBTOTAL(9,OFFSET(DataCP[Total Impressions],ROW(DataCP[Total Impressions])-MIN(ROW(DataCP[Total Impressions])),0,1)))))
/
SUM(
IF(DataCP[Video Viewability 
'[Total Viewable Rate (Total Net Metrics)']]&lt;&gt;"NULL",
IF(DataCP[Brand]=#REF!,
SUBTOTAL(9,OFFSET(DataCP[Total Impressions],ROW(DataCP[Total Impressions])-MIN(ROW(DataCP[Total Impressions])),0,1)))))</calculatedColumnFormula>
    </tableColumn>
    <tableColumn id="9" xr3:uid="{00000000-0010-0000-0A00-000009000000}" name="GroupM Viewability _x000a_[% Display Ads Fully in View]" dataDxfId="319"/>
    <tableColumn id="24" xr3:uid="{00000000-0010-0000-0A00-000018000000}" name="GroupM Viewability _x000a_[% Videos Fully in View]" dataDxfId="318"/>
    <tableColumn id="10" xr3:uid="{00000000-0010-0000-0A00-00000A000000}" name="Publicis Viewability _x000a_[% Display Ads Fully in View]" dataDxfId="317"/>
    <tableColumn id="11" xr3:uid="{00000000-0010-0000-0A00-00000B000000}" name="Publicis Viewability _x000a_[% Videos Fully in View]" dataDxfId="316"/>
  </tableColumns>
  <tableStyleInfo name="New IAS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0B000000}" name="ColumnCP" displayName="ColumnCP" ref="J6:J13" totalsRowShown="0" headerRowDxfId="315" dataDxfId="313" headerRowBorderDxfId="314" tableBorderDxfId="312">
  <autoFilter ref="J6:J13" xr:uid="{00000000-0009-0000-0100-000026000000}"/>
  <tableColumns count="1">
    <tableColumn id="1" xr3:uid="{00000000-0010-0000-0B00-000001000000}" name="Metric" dataDxfId="311"/>
  </tableColumns>
  <tableStyleInfo name="New IAS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DataPP" displayName="DataPP" ref="B15:AA16" totalsRowShown="0" headerRowDxfId="303" dataDxfId="301" headerRowBorderDxfId="302" dataCellStyle="Percent">
  <autoFilter ref="B15:AA16" xr:uid="{00000000-0009-0000-0100-00000C000000}"/>
  <tableColumns count="26">
    <tableColumn id="74" xr3:uid="{00000000-0010-0000-0C00-00004A000000}" name="Partner Type" dataDxfId="300">
      <calculatedColumnFormula>IFERROR(
IF(DataT[[#Headers],[Region (Team)]]="Brand",VLOOKUP(DataPP[[#This Row],[Campaign]],Map_Campaign[],2,0),
IF(DataT[[#Headers],[Region (Team)]]="Region (Team)",VLOOKUP(DataPP[[#This Row],[Team]],Map_Team[],2,0),
IF(DataT[[#Headers],[Region (Team)]]="Region (Campaign)",VLOOKUP(DataPP[[#This Row],[Campaign]],Map_Campaign[],3,0),
IF(DataT[[#Headers],[Region (Team)]]="Partner Type",VLOOKUP(DataPP[[#This Row],[Partner]],Map_Partner[],2,0),
IF(DataT[[#Headers],[Region (Team)]]="Device Type",VLOOKUP(DataPP[[#This Row],[Placement]],Map_Placement[],3,0),
IF(DataT[[#Headers],[Region (Team)]]="Creative Size",VLOOKUP(DataPP[[#This Row],[Placement]],Map_Placement[],2,0),"Not a mapping option.")))))),
"[Unmapped]")</calculatedColumnFormula>
    </tableColumn>
    <tableColumn id="73" xr3:uid="{00000000-0010-0000-0C00-000049000000}" name="Team" dataDxfId="299"/>
    <tableColumn id="71" xr3:uid="{00000000-0010-0000-0C00-000047000000}" name="Campaign" dataDxfId="298"/>
    <tableColumn id="18" xr3:uid="{00000000-0010-0000-0C00-000012000000}" name="Partner" dataDxfId="297"/>
    <tableColumn id="38" xr3:uid="{00000000-0010-0000-0C00-000026000000}" name="Placement" dataDxfId="296"/>
    <tableColumn id="122" xr3:uid="{00000000-0010-0000-0C00-00007A000000}" name="Device Type" dataDxfId="295"/>
    <tableColumn id="75" xr3:uid="{00000000-0010-0000-0C00-00004B000000}" name="Blocking Status" dataDxfId="294"/>
    <tableColumn id="72" xr3:uid="{00000000-0010-0000-0C00-000048000000}" name="Measured Impressions" dataDxfId="293" dataCellStyle="Comma"/>
    <tableColumn id="4" xr3:uid="{00000000-0010-0000-0C00-000004000000}" name="Total Impressions" dataDxfId="292" dataCellStyle="Comma"/>
    <tableColumn id="5" xr3:uid="{00000000-0010-0000-0C00-000005000000}" name="Measured Rate _x000a_[% Measured]" dataDxfId="291" dataCellStyle="Percent"/>
    <tableColumn id="6" xr3:uid="{00000000-0010-0000-0C00-000006000000}" name="See-Through Rate _x000a_[% Visible]" dataDxfId="290" dataCellStyle="Percent"/>
    <tableColumn id="77" xr3:uid="{00000000-0010-0000-0C00-00004D000000}" name="Brand Safety _x000a_[% Passed]" dataDxfId="289" dataCellStyle="Percent"/>
    <tableColumn id="41" xr3:uid="{00000000-0010-0000-0C00-000029000000}" name="Brand Safety _x000a_[% Failed]" dataDxfId="288" dataCellStyle="Percent"/>
    <tableColumn id="60" xr3:uid="{00000000-0010-0000-0C00-00003C000000}" name="Brand Safety _x000a_[% Failed by Content]" dataDxfId="287" dataCellStyle="Percent"/>
    <tableColumn id="63" xr3:uid="{00000000-0010-0000-0C00-00003F000000}" name="Brand Safety _x000a_[% Failed by Geo]" dataDxfId="286" dataCellStyle="Percent"/>
    <tableColumn id="7" xr3:uid="{00000000-0010-0000-0C00-000007000000}" name="Brand Safety _x000a_[% Failed by Keyword]" dataDxfId="285" dataCellStyle="Percent"/>
    <tableColumn id="8" xr3:uid="{00000000-0010-0000-0C00-000008000000}" name="Brand Safety _x000a_[% Failed by Blacklist]" dataDxfId="284" dataCellStyle="Percent"/>
    <tableColumn id="9" xr3:uid="{00000000-0010-0000-0C00-000009000000}" name="Brand Safety _x000a_[% Failed by Language]" dataDxfId="283" dataCellStyle="Percent"/>
    <tableColumn id="10" xr3:uid="{00000000-0010-0000-0C00-00000A000000}" name="Fraud _x000a_[% Fraud]" dataDxfId="282" dataCellStyle="Percent"/>
    <tableColumn id="11" xr3:uid="{00000000-0010-0000-0C00-00000B000000}" name="Viewability _x000a_[Total Viewable Rate (Total Net Metrics)]" dataDxfId="281" dataCellStyle="Percent"/>
    <tableColumn id="2" xr3:uid="{00000000-0010-0000-0C00-000002000000}" name="Display Viewability _x000a_[Total Viewable Rate (Total Net Metrics)]" dataDxfId="280" dataCellStyle="Percent"/>
    <tableColumn id="78" xr3:uid="{00000000-0010-0000-0C00-00004E000000}" name="Video Viewability _x000a_[Total Viewable Rate (Total Net Metrics)]" dataDxfId="279" dataCellStyle="Percent"/>
    <tableColumn id="12" xr3:uid="{00000000-0010-0000-0C00-00000C000000}" name="GroupM Viewability _x000a_[% Display Ads Fully in View]" dataDxfId="278" dataCellStyle="Percent"/>
    <tableColumn id="76" xr3:uid="{00000000-0010-0000-0C00-00004C000000}" name="GroupM Viewability _x000a_[% Videos Fully in View]" dataDxfId="277" dataCellStyle="Percent"/>
    <tableColumn id="3" xr3:uid="{00000000-0010-0000-0C00-000003000000}" name="Publicis Viewability _x000a_[% Display Ads Fully in View]" dataDxfId="276" dataCellStyle="Percent"/>
    <tableColumn id="13" xr3:uid="{00000000-0010-0000-0C00-00000D000000}" name="Publicis Viewability _x000a_[% Videos Fully in View]" dataDxfId="275" dataCellStyle="Percent"/>
  </tableColumns>
  <tableStyleInfo name="New IAS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BenchmarksPP" displayName="BenchmarksPP" ref="K6:AA13" totalsRowShown="0" headerRowDxfId="274" dataDxfId="273">
  <autoFilter ref="K6:AA13" xr:uid="{00000000-0009-0000-0100-00000F000000}"/>
  <tableColumns count="17">
    <tableColumn id="1" xr3:uid="{00000000-0010-0000-0D00-000001000000}" name="Measured Rate _x000a_[% Measured]" dataDxfId="272"/>
    <tableColumn id="2" xr3:uid="{00000000-0010-0000-0D00-000002000000}" name="See-Through Rate _x000a_[% Visible]" dataDxfId="271"/>
    <tableColumn id="25" xr3:uid="{00000000-0010-0000-0D00-000019000000}" name="Brand Safety _x000a_[% Passed]" dataDxfId="270">
      <calculatedColumnFormula array="1">SUM(
(DataPP[Brand Safety 
'[% Passed']]&lt;&gt;"NULL")*
DataPP[Brand Safety 
'[% Passed']]*SUBTOTAL(9,OFFSET(DataPP[Total Impressions],ROW(DataPP[Total Impressions])-MIN(ROW(DataPP[Total Impressions])),0,1)))
/
SUM(
(DataPP[Brand Safety 
'[% Passed']]&lt;&gt;"NULL")*
SUBTOTAL(9,OFFSET(DataPP[Total Impressions],ROW(DataPP[Total Impressions])-MIN(ROW(DataPP[Total Impressions])),0,1)))</calculatedColumnFormula>
    </tableColumn>
    <tableColumn id="23" xr3:uid="{00000000-0010-0000-0D00-000017000000}" name="Brand Safety _x000a_[% Failed]" dataDxfId="269"/>
    <tableColumn id="36" xr3:uid="{00000000-0010-0000-0D00-000024000000}" name="Brand Safety _x000a_[% Failed by Content]" dataDxfId="268"/>
    <tableColumn id="16" xr3:uid="{00000000-0010-0000-0D00-000010000000}" name="Brand Safety _x000a_[% Failed by Geo]" dataDxfId="267"/>
    <tableColumn id="3" xr3:uid="{00000000-0010-0000-0D00-000003000000}" name="Brand Safety _x000a_[% Failed by Keyword]" dataDxfId="266"/>
    <tableColumn id="4" xr3:uid="{00000000-0010-0000-0D00-000004000000}" name="Brand Safety _x000a_[% Failed by Blacklist]" dataDxfId="265"/>
    <tableColumn id="5" xr3:uid="{00000000-0010-0000-0D00-000005000000}" name="Brand Safety _x000a_[% Failed by Language]" dataDxfId="264"/>
    <tableColumn id="6" xr3:uid="{00000000-0010-0000-0D00-000006000000}" name="Fraud _x000a_[% Fraud]" dataDxfId="263"/>
    <tableColumn id="7" xr3:uid="{00000000-0010-0000-0D00-000007000000}" name="Viewability _x000a_[Total Viewable Rate (Total Net Metrics)]" dataDxfId="262"/>
    <tableColumn id="8" xr3:uid="{00000000-0010-0000-0D00-000008000000}" name="Display Viewability _x000a_[Total Viewable Rate (Total Net Metrics)]" dataDxfId="261"/>
    <tableColumn id="26" xr3:uid="{00000000-0010-0000-0D00-00001A000000}" name="Video Viewability _x000a_[Total Viewable Rate (Total Net Metrics)]" dataDxfId="260">
      <calculatedColumnFormula array="1">SUM(
IF(DataPP[Video Viewability 
'[Total Viewable Rate (Total Net Metrics)']]&lt;&gt;"NULL",
IF(DataPP[Partner Type]=#REF!,
DataPP[Video Viewability 
'[Total Viewable Rate (Total Net Metrics)']]*
SUBTOTAL(9,OFFSET(DataPP[Total Impressions],ROW(DataPP[Total Impressions])-MIN(ROW(DataPP[Total Impressions])),0,1)))))
/
SUM(
IF(DataPP[Video Viewability 
'[Total Viewable Rate (Total Net Metrics)']]&lt;&gt;"NULL",
IF(DataPP[Partner Type]=#REF!,
SUBTOTAL(9,OFFSET(DataPP[Total Impressions],ROW(DataPP[Total Impressions])-MIN(ROW(DataPP[Total Impressions])),0,1)))))</calculatedColumnFormula>
    </tableColumn>
    <tableColumn id="9" xr3:uid="{00000000-0010-0000-0D00-000009000000}" name="GroupM Viewability _x000a_[% Display Ads Fully in View]" dataDxfId="259"/>
    <tableColumn id="24" xr3:uid="{00000000-0010-0000-0D00-000018000000}" name="GroupM Viewability _x000a_[% Videos Fully in View]" dataDxfId="258"/>
    <tableColumn id="10" xr3:uid="{00000000-0010-0000-0D00-00000A000000}" name="Publicis Viewability _x000a_[% Display Ads Fully in View]" dataDxfId="257"/>
    <tableColumn id="11" xr3:uid="{00000000-0010-0000-0D00-00000B000000}" name="Publicis Viewability _x000a_[% Videos Fully in View]" dataDxfId="256"/>
  </tableColumns>
  <tableStyleInfo name="New IAS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0E000000}" name="ColumnPP" displayName="ColumnPP" ref="J6:J13" totalsRowShown="0" headerRowDxfId="255" dataDxfId="253" headerRowBorderDxfId="254" tableBorderDxfId="252">
  <autoFilter ref="J6:J13" xr:uid="{00000000-0009-0000-0100-000027000000}"/>
  <tableColumns count="1">
    <tableColumn id="1" xr3:uid="{00000000-0010-0000-0E00-000001000000}" name="Metric" dataDxfId="251"/>
  </tableColumns>
  <tableStyleInfo name="New IAS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F000000}" name="DataD" displayName="DataD" ref="B15:AA16" totalsRowShown="0" headerRowDxfId="244" dataDxfId="242" headerRowBorderDxfId="243" dataCellStyle="Percent">
  <autoFilter ref="B15:AA16" xr:uid="{00000000-0009-0000-0100-00001B000000}"/>
  <tableColumns count="26">
    <tableColumn id="74" xr3:uid="{00000000-0010-0000-0F00-00004A000000}" name="NO MAPPING" dataDxfId="241"/>
    <tableColumn id="73" xr3:uid="{00000000-0010-0000-0F00-000049000000}" name="Team" dataDxfId="240"/>
    <tableColumn id="71" xr3:uid="{00000000-0010-0000-0F00-000047000000}" name="Campaign" dataDxfId="239"/>
    <tableColumn id="18" xr3:uid="{00000000-0010-0000-0F00-000012000000}" name="Partner" dataDxfId="238"/>
    <tableColumn id="38" xr3:uid="{00000000-0010-0000-0F00-000026000000}" name="Placement" dataDxfId="237"/>
    <tableColumn id="122" xr3:uid="{00000000-0010-0000-0F00-00007A000000}" name="Device Type" dataDxfId="236"/>
    <tableColumn id="75" xr3:uid="{00000000-0010-0000-0F00-00004B000000}" name="Blocking Status" dataDxfId="235"/>
    <tableColumn id="72" xr3:uid="{00000000-0010-0000-0F00-000048000000}" name="Measured Impressions" dataDxfId="234" dataCellStyle="Comma"/>
    <tableColumn id="4" xr3:uid="{00000000-0010-0000-0F00-000004000000}" name="Total Impressions" dataDxfId="233" dataCellStyle="Comma"/>
    <tableColumn id="5" xr3:uid="{00000000-0010-0000-0F00-000005000000}" name="Measured Rate _x000a_[% Measured]" dataDxfId="232" dataCellStyle="Percent"/>
    <tableColumn id="6" xr3:uid="{00000000-0010-0000-0F00-000006000000}" name="See-Through Rate _x000a_[% Visible]" dataDxfId="231" dataCellStyle="Percent"/>
    <tableColumn id="77" xr3:uid="{00000000-0010-0000-0F00-00004D000000}" name="Brand Safety _x000a_[% Passed]" dataDxfId="230" dataCellStyle="Percent"/>
    <tableColumn id="41" xr3:uid="{00000000-0010-0000-0F00-000029000000}" name="Brand Safety _x000a_[% Failed]" dataDxfId="229" dataCellStyle="Percent"/>
    <tableColumn id="60" xr3:uid="{00000000-0010-0000-0F00-00003C000000}" name="Brand Safety _x000a_[% Failed by Content]" dataDxfId="228" dataCellStyle="Percent"/>
    <tableColumn id="63" xr3:uid="{00000000-0010-0000-0F00-00003F000000}" name="Brand Safety _x000a_[% Failed by Geo]" dataDxfId="227" dataCellStyle="Percent"/>
    <tableColumn id="7" xr3:uid="{00000000-0010-0000-0F00-000007000000}" name="Brand Safety _x000a_[% Failed by Keyword]" dataDxfId="226" dataCellStyle="Percent"/>
    <tableColumn id="8" xr3:uid="{00000000-0010-0000-0F00-000008000000}" name="Brand Safety _x000a_[% Failed by Blacklist]" dataDxfId="225" dataCellStyle="Percent"/>
    <tableColumn id="9" xr3:uid="{00000000-0010-0000-0F00-000009000000}" name="Brand Safety _x000a_[% Failed by Language]" dataDxfId="224" dataCellStyle="Percent"/>
    <tableColumn id="10" xr3:uid="{00000000-0010-0000-0F00-00000A000000}" name="Fraud _x000a_[% Fraud]" dataDxfId="223" dataCellStyle="Percent"/>
    <tableColumn id="11" xr3:uid="{00000000-0010-0000-0F00-00000B000000}" name="Viewability _x000a_[Total Viewable Rate (Total Net Metrics)]" dataDxfId="222" dataCellStyle="Percent"/>
    <tableColumn id="2" xr3:uid="{00000000-0010-0000-0F00-000002000000}" name="Display Viewability _x000a_[Total Viewable Rate (Total Net Metrics)]" dataDxfId="221" dataCellStyle="Percent"/>
    <tableColumn id="78" xr3:uid="{00000000-0010-0000-0F00-00004E000000}" name="Video Viewability _x000a_[Total Viewable Rate (Total Net Metrics)]" dataDxfId="220" dataCellStyle="Percent"/>
    <tableColumn id="12" xr3:uid="{00000000-0010-0000-0F00-00000C000000}" name="GroupM Viewability _x000a_[% Display Ads Fully in View]" dataDxfId="219" dataCellStyle="Percent"/>
    <tableColumn id="76" xr3:uid="{00000000-0010-0000-0F00-00004C000000}" name="GroupM Viewability _x000a_[% Videos Fully in View]" dataDxfId="218" dataCellStyle="Percent"/>
    <tableColumn id="3" xr3:uid="{00000000-0010-0000-0F00-000003000000}" name="Publicis Viewability _x000a_[% Display Ads Fully in View]" dataDxfId="217" dataCellStyle="Percent"/>
    <tableColumn id="13" xr3:uid="{00000000-0010-0000-0F00-00000D000000}" name="Publicis Viewability _x000a_[% Videos Fully in View]" dataDxfId="216" dataCellStyle="Percent"/>
  </tableColumns>
  <tableStyleInfo name="New IAS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0000000}" name="BenchmarksD" displayName="BenchmarksD" ref="K6:AA13" totalsRowShown="0" headerRowDxfId="215" dataDxfId="214">
  <autoFilter ref="K6:AA13" xr:uid="{00000000-0009-0000-0100-00001C000000}"/>
  <tableColumns count="17">
    <tableColumn id="1" xr3:uid="{00000000-0010-0000-1000-000001000000}" name="Measured Rate _x000a_[% Measured]" dataDxfId="213"/>
    <tableColumn id="2" xr3:uid="{00000000-0010-0000-1000-000002000000}" name="See-Through Rate _x000a_[% Visible]" dataDxfId="212"/>
    <tableColumn id="25" xr3:uid="{00000000-0010-0000-1000-000019000000}" name="Brand Safety _x000a_[% Passed]" dataDxfId="211">
      <calculatedColumnFormula array="1">SUM(
(DataD[Brand Safety 
'[% Passed']]&lt;&gt;"NULL")*
DataD[Brand Safety 
'[% Passed']]*SUBTOTAL(9,OFFSET(DataD[Total Impressions],ROW(DataD[Total Impressions])-MIN(ROW(DataD[Total Impressions])),0,1)))
/
SUM(
(DataD[Brand Safety 
'[% Passed']]&lt;&gt;"NULL")*
SUBTOTAL(9,OFFSET(DataD[Total Impressions],ROW(DataD[Total Impressions])-MIN(ROW(DataD[Total Impressions])),0,1)))</calculatedColumnFormula>
    </tableColumn>
    <tableColumn id="23" xr3:uid="{00000000-0010-0000-1000-000017000000}" name="Brand Safety _x000a_[% Failed]" dataDxfId="210"/>
    <tableColumn id="36" xr3:uid="{00000000-0010-0000-1000-000024000000}" name="Brand Safety _x000a_[% Failed by Content]" dataDxfId="209"/>
    <tableColumn id="16" xr3:uid="{00000000-0010-0000-1000-000010000000}" name="Brand Safety _x000a_[% Failed by Geo]" dataDxfId="208"/>
    <tableColumn id="3" xr3:uid="{00000000-0010-0000-1000-000003000000}" name="Brand Safety _x000a_[% Failed by Keyword]" dataDxfId="207"/>
    <tableColumn id="4" xr3:uid="{00000000-0010-0000-1000-000004000000}" name="Brand Safety _x000a_[% Failed by Blacklist]" dataDxfId="206"/>
    <tableColumn id="5" xr3:uid="{00000000-0010-0000-1000-000005000000}" name="Brand Safety _x000a_[% Failed by Language]" dataDxfId="205"/>
    <tableColumn id="6" xr3:uid="{00000000-0010-0000-1000-000006000000}" name="Fraud _x000a_[% Fraud]" dataDxfId="204"/>
    <tableColumn id="7" xr3:uid="{00000000-0010-0000-1000-000007000000}" name="Viewability _x000a_[Total Viewable Rate (Total Net Metrics)]" dataDxfId="203"/>
    <tableColumn id="8" xr3:uid="{00000000-0010-0000-1000-000008000000}" name="Display Viewability _x000a_[Total Viewable Rate (Total Net Metrics)]" dataDxfId="202"/>
    <tableColumn id="26" xr3:uid="{00000000-0010-0000-1000-00001A000000}" name="Video Viewability _x000a_[Total Viewable Rate (Total Net Metrics)]" dataDxfId="201">
      <calculatedColumnFormula array="1">SUM(
IF(DataD[Video Viewability 
'[Total Viewable Rate (Total Net Metrics)']]&lt;&gt;"NULL",
IF(DataD[NO MAPPING]=#REF!,
DataD[Video Viewability 
'[Total Viewable Rate (Total Net Metrics)']]*
SUBTOTAL(9,OFFSET(DataD[Total Impressions],ROW(DataD[Total Impressions])-MIN(ROW(DataD[Total Impressions])),0,1)))))
/
SUM(
IF(DataD[Video Viewability 
'[Total Viewable Rate (Total Net Metrics)']]&lt;&gt;"NULL",
IF(DataD[NO MAPPING]=#REF!,
SUBTOTAL(9,OFFSET(DataD[Total Impressions],ROW(DataD[Total Impressions])-MIN(ROW(DataD[Total Impressions])),0,1)))))</calculatedColumnFormula>
    </tableColumn>
    <tableColumn id="9" xr3:uid="{00000000-0010-0000-1000-000009000000}" name="GroupM Viewability _x000a_[% Display Ads Fully in View]" dataDxfId="200"/>
    <tableColumn id="24" xr3:uid="{00000000-0010-0000-1000-000018000000}" name="GroupM Viewability _x000a_[% Videos Fully in View]" dataDxfId="199"/>
    <tableColumn id="10" xr3:uid="{00000000-0010-0000-1000-00000A000000}" name="Publicis Viewability _x000a_[% Display Ads Fully in View]" dataDxfId="198"/>
    <tableColumn id="11" xr3:uid="{00000000-0010-0000-1000-00000B000000}" name="Publicis Viewability _x000a_[% Videos Fully in View]" dataDxfId="197"/>
  </tableColumns>
  <tableStyleInfo name="New IAS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1000000}" name="ColumnD" displayName="ColumnD" ref="J6:J13" totalsRowShown="0" headerRowDxfId="196" dataDxfId="194" headerRowBorderDxfId="195" tableBorderDxfId="193">
  <autoFilter ref="J6:J13" xr:uid="{00000000-0009-0000-0100-000028000000}"/>
  <tableColumns count="1">
    <tableColumn id="1" xr3:uid="{00000000-0010-0000-1100-000001000000}" name="Metric" dataDxfId="192"/>
  </tableColumns>
  <tableStyleInfo name="New IAS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2000000}" name="DataCD" displayName="DataCD" ref="B15:AA16" totalsRowShown="0" headerRowDxfId="185" dataDxfId="183" headerRowBorderDxfId="184" dataCellStyle="Percent">
  <autoFilter ref="B15:AA16" xr:uid="{00000000-0009-0000-0100-000011000000}"/>
  <tableColumns count="26">
    <tableColumn id="74" xr3:uid="{00000000-0010-0000-1200-00004A000000}" name="Brand" dataDxfId="182">
      <calculatedColumnFormula>IFERROR(
IF(DataCD[[#Headers],[Brand]]="Brand",VLOOKUP(DataCD[[#This Row],[Campaign]],Map_Campaign[],2,0),
IF(DataCD[[#Headers],[Brand]]="Region (Team)",VLOOKUP(DataCD[[#This Row],[Team]],Map_Team[],2,0),
IF(DataCD[[#Headers],[Brand]]="Region (Campaign)",VLOOKUP(DataCD[[#This Row],[Campaign]],Map_Campaign[],3,0),
IF(DataCD[[#Headers],[Brand]]="Partner Type",VLOOKUP(DataCD[[#This Row],[Partner]],Map_Partner[],2,0),
IF(DataCD[[#Headers],[Brand]]="Device Type",VLOOKUP(DataCD[[#This Row],[Placement]],Map_Placement[],3,0),
IF(DataCD[[#Headers],[Brand]]="Creative Size",VLOOKUP(DataCD[[#This Row],[Placement]],Map_Placement[],2,0),"Not a mapping option.")))))),
"[Unmapped]")</calculatedColumnFormula>
    </tableColumn>
    <tableColumn id="73" xr3:uid="{00000000-0010-0000-1200-000049000000}" name="Team" dataDxfId="181"/>
    <tableColumn id="71" xr3:uid="{00000000-0010-0000-1200-000047000000}" name="Campaign" dataDxfId="180"/>
    <tableColumn id="18" xr3:uid="{00000000-0010-0000-1200-000012000000}" name="Partner" dataDxfId="179"/>
    <tableColumn id="38" xr3:uid="{00000000-0010-0000-1200-000026000000}" name="Placement" dataDxfId="178"/>
    <tableColumn id="122" xr3:uid="{00000000-0010-0000-1200-00007A000000}" name="Device Type" dataDxfId="177"/>
    <tableColumn id="75" xr3:uid="{00000000-0010-0000-1200-00004B000000}" name="Blocking Status" dataDxfId="176"/>
    <tableColumn id="72" xr3:uid="{00000000-0010-0000-1200-000048000000}" name="Measured Impressions" dataDxfId="175" dataCellStyle="Comma"/>
    <tableColumn id="4" xr3:uid="{00000000-0010-0000-1200-000004000000}" name="Total Impressions" dataDxfId="174" dataCellStyle="Comma"/>
    <tableColumn id="5" xr3:uid="{00000000-0010-0000-1200-000005000000}" name="Measured Rate _x000a_[% Measured]" dataDxfId="173" dataCellStyle="Percent"/>
    <tableColumn id="6" xr3:uid="{00000000-0010-0000-1200-000006000000}" name="See-Through Rate _x000a_[% Visible]" dataDxfId="172" dataCellStyle="Percent"/>
    <tableColumn id="77" xr3:uid="{00000000-0010-0000-1200-00004D000000}" name="Brand Safety _x000a_[% Passed]" dataDxfId="171" dataCellStyle="Percent"/>
    <tableColumn id="41" xr3:uid="{00000000-0010-0000-1200-000029000000}" name="Brand Safety _x000a_[% Failed]" dataDxfId="170" dataCellStyle="Percent"/>
    <tableColumn id="60" xr3:uid="{00000000-0010-0000-1200-00003C000000}" name="Brand Safety _x000a_[% Failed by Content]" dataDxfId="169" dataCellStyle="Percent"/>
    <tableColumn id="63" xr3:uid="{00000000-0010-0000-1200-00003F000000}" name="Brand Safety _x000a_[% Failed by Geo]" dataDxfId="168" dataCellStyle="Percent"/>
    <tableColumn id="7" xr3:uid="{00000000-0010-0000-1200-000007000000}" name="Brand Safety _x000a_[% Failed by Keyword]" dataDxfId="167" dataCellStyle="Percent"/>
    <tableColumn id="8" xr3:uid="{00000000-0010-0000-1200-000008000000}" name="Brand Safety _x000a_[% Failed by Blacklist]" dataDxfId="166" dataCellStyle="Percent"/>
    <tableColumn id="9" xr3:uid="{00000000-0010-0000-1200-000009000000}" name="Brand Safety _x000a_[% Failed by Language]" dataDxfId="165" dataCellStyle="Percent"/>
    <tableColumn id="10" xr3:uid="{00000000-0010-0000-1200-00000A000000}" name="Fraud _x000a_[% Fraud]" dataDxfId="164" dataCellStyle="Percent"/>
    <tableColumn id="11" xr3:uid="{00000000-0010-0000-1200-00000B000000}" name="Viewability _x000a_[Total Viewable Rate (Total Net Metrics)]" dataDxfId="163" dataCellStyle="Percent"/>
    <tableColumn id="2" xr3:uid="{00000000-0010-0000-1200-000002000000}" name="Display Viewability _x000a_[Total Viewable Rate (Total Net Metrics)]" dataDxfId="162" dataCellStyle="Percent"/>
    <tableColumn id="78" xr3:uid="{00000000-0010-0000-1200-00004E000000}" name="Video Viewability _x000a_[Total Viewable Rate (Total Net Metrics)]" dataDxfId="161" dataCellStyle="Percent"/>
    <tableColumn id="12" xr3:uid="{00000000-0010-0000-1200-00000C000000}" name="GroupM Viewability _x000a_[% Display Ads Fully in View]" dataDxfId="160" dataCellStyle="Percent"/>
    <tableColumn id="76" xr3:uid="{00000000-0010-0000-1200-00004C000000}" name="GroupM Viewability _x000a_[% Videos Fully in View]" dataDxfId="159" dataCellStyle="Percent"/>
    <tableColumn id="3" xr3:uid="{00000000-0010-0000-1200-000003000000}" name="Publicis Viewability _x000a_[% Display Ads Fully in View]" dataDxfId="158" dataCellStyle="Percent"/>
    <tableColumn id="13" xr3:uid="{00000000-0010-0000-1200-00000D000000}" name="Publicis Viewability _x000a_[% Videos Fully in View]" dataDxfId="157" dataCellStyle="Percent"/>
  </tableColumns>
  <tableStyleInfo name="New IAS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BenchmarksCD" displayName="BenchmarksCD" ref="K6:AA13" totalsRowShown="0" headerRowDxfId="156" dataDxfId="155">
  <autoFilter ref="K6:AA13" xr:uid="{00000000-0009-0000-0100-000016000000}"/>
  <tableColumns count="17">
    <tableColumn id="1" xr3:uid="{00000000-0010-0000-1300-000001000000}" name="Measured Rate _x000a_[% Measured]" dataDxfId="154"/>
    <tableColumn id="2" xr3:uid="{00000000-0010-0000-1300-000002000000}" name="See-Through Rate _x000a_[% Visible]" dataDxfId="153"/>
    <tableColumn id="25" xr3:uid="{00000000-0010-0000-1300-000019000000}" name="Brand Safety _x000a_[% Passed]" dataDxfId="152">
      <calculatedColumnFormula array="1">SUM(
(DataCD[Brand Safety 
'[% Passed']]&lt;&gt;"NULL")*
DataCD[Brand Safety 
'[% Passed']]*SUBTOTAL(9,OFFSET(DataCD[Total Impressions],ROW(DataCD[Total Impressions])-MIN(ROW(DataCD[Total Impressions])),0,1)))
/
SUM(
(DataCD[Brand Safety 
'[% Passed']]&lt;&gt;"NULL")*
SUBTOTAL(9,OFFSET(DataCD[Total Impressions],ROW(DataCD[Total Impressions])-MIN(ROW(DataCD[Total Impressions])),0,1)))</calculatedColumnFormula>
    </tableColumn>
    <tableColumn id="23" xr3:uid="{00000000-0010-0000-1300-000017000000}" name="Brand Safety _x000a_[% Failed]" dataDxfId="151"/>
    <tableColumn id="36" xr3:uid="{00000000-0010-0000-1300-000024000000}" name="Brand Safety _x000a_[% Failed by Content]" dataDxfId="150"/>
    <tableColumn id="16" xr3:uid="{00000000-0010-0000-1300-000010000000}" name="Brand Safety _x000a_[% Failed by Geo]" dataDxfId="149"/>
    <tableColumn id="3" xr3:uid="{00000000-0010-0000-1300-000003000000}" name="Brand Safety _x000a_[% Failed by Keyword]" dataDxfId="148"/>
    <tableColumn id="4" xr3:uid="{00000000-0010-0000-1300-000004000000}" name="Brand Safety _x000a_[% Failed by Blacklist]" dataDxfId="147"/>
    <tableColumn id="5" xr3:uid="{00000000-0010-0000-1300-000005000000}" name="Brand Safety _x000a_[% Failed by Language]" dataDxfId="146"/>
    <tableColumn id="6" xr3:uid="{00000000-0010-0000-1300-000006000000}" name="Fraud _x000a_[% Fraud]" dataDxfId="145"/>
    <tableColumn id="7" xr3:uid="{00000000-0010-0000-1300-000007000000}" name="Viewability _x000a_[Total Viewable Rate (Total Net Metrics)]" dataDxfId="144"/>
    <tableColumn id="8" xr3:uid="{00000000-0010-0000-1300-000008000000}" name="Display Viewability _x000a_[Total Viewable Rate (Total Net Metrics)]" dataDxfId="143"/>
    <tableColumn id="26" xr3:uid="{00000000-0010-0000-1300-00001A000000}" name="Video Viewability _x000a_[Total Viewable Rate (Total Net Metrics)]" dataDxfId="142">
      <calculatedColumnFormula array="1">SUM(
IF(DataCD[Video Viewability 
'[Total Viewable Rate (Total Net Metrics)']]&lt;&gt;"NULL",
IF(DataCD[Brand]=#REF!,
DataCD[Video Viewability 
'[Total Viewable Rate (Total Net Metrics)']]*
SUBTOTAL(9,OFFSET(DataCD[Total Impressions],ROW(DataCD[Total Impressions])-MIN(ROW(DataCD[Total Impressions])),0,1)))))
/
SUM(
IF(DataCD[Video Viewability 
'[Total Viewable Rate (Total Net Metrics)']]&lt;&gt;"NULL",
IF(DataCD[Brand]=#REF!,
SUBTOTAL(9,OFFSET(DataCD[Total Impressions],ROW(DataCD[Total Impressions])-MIN(ROW(DataCD[Total Impressions])),0,1)))))</calculatedColumnFormula>
    </tableColumn>
    <tableColumn id="9" xr3:uid="{00000000-0010-0000-1300-000009000000}" name="GroupM Viewability _x000a_[% Display Ads Fully in View]" dataDxfId="141"/>
    <tableColumn id="24" xr3:uid="{00000000-0010-0000-1300-000018000000}" name="GroupM Viewability _x000a_[% Videos Fully in View]" dataDxfId="140"/>
    <tableColumn id="10" xr3:uid="{00000000-0010-0000-1300-00000A000000}" name="Publicis Viewability _x000a_[% Display Ads Fully in View]" dataDxfId="139"/>
    <tableColumn id="11" xr3:uid="{00000000-0010-0000-1300-00000B000000}" name="Publicis Viewability _x000a_[% Videos Fully in View]" dataDxfId="138"/>
  </tableColumns>
  <tableStyleInfo name="New IAS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14000000}" name="ColumnCD" displayName="ColumnCD" ref="J6:J13" totalsRowShown="0" headerRowDxfId="137" dataDxfId="135" headerRowBorderDxfId="136" tableBorderDxfId="134">
  <autoFilter ref="J6:J13" xr:uid="{00000000-0009-0000-0100-000029000000}"/>
  <tableColumns count="1">
    <tableColumn id="1" xr3:uid="{00000000-0010-0000-1400-000001000000}" name="Metric" dataDxfId="133"/>
  </tableColumns>
  <tableStyleInfo name="New IAS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5000000}" name="DataPD" displayName="DataPD" ref="B15:AA16" totalsRowShown="0" headerRowDxfId="125" dataDxfId="123" headerRowBorderDxfId="124" dataCellStyle="Percent">
  <autoFilter ref="B15:AA16" xr:uid="{00000000-0009-0000-0100-000018000000}"/>
  <tableColumns count="26">
    <tableColumn id="74" xr3:uid="{00000000-0010-0000-1500-00004A000000}" name="Partner Type" dataDxfId="122">
      <calculatedColumnFormula>IFERROR(
IF(DataPD[[#Headers],[Partner Type]]="Brand",VLOOKUP(DataPD[[#This Row],[Campaign]],Map_Campaign[],2,0),
IF(DataPD[[#Headers],[Partner Type]]="Region (Team)",VLOOKUP(DataPD[[#This Row],[Team]],Map_Team[],2,0),
IF(DataPD[[#Headers],[Partner Type]]="Region (Campaign)",VLOOKUP(DataPD[[#This Row],[Campaign]],Map_Campaign[],3,0),
IF(DataPD[[#Headers],[Partner Type]]="Partner Type",VLOOKUP(DataPD[[#This Row],[Partner]],Map_Partner[],2,0),
IF(DataPD[[#Headers],[Partner Type]]="Device Type",VLOOKUP(DataPD[[#This Row],[Placement]],Map_Placement[],3,0),
IF(DataPD[[#Headers],[Partner Type]]="Creative Size",VLOOKUP(DataPD[[#This Row],[Placement]],Map_Placement[],2,0),"Not a mapping option.")))))),
"[Unmapped]")</calculatedColumnFormula>
    </tableColumn>
    <tableColumn id="73" xr3:uid="{00000000-0010-0000-1500-000049000000}" name="Team" dataDxfId="121"/>
    <tableColumn id="71" xr3:uid="{00000000-0010-0000-1500-000047000000}" name="Campaign" dataDxfId="120"/>
    <tableColumn id="18" xr3:uid="{00000000-0010-0000-1500-000012000000}" name="Partner" dataDxfId="119"/>
    <tableColumn id="38" xr3:uid="{00000000-0010-0000-1500-000026000000}" name="Placement" dataDxfId="118"/>
    <tableColumn id="122" xr3:uid="{00000000-0010-0000-1500-00007A000000}" name="Device Type" dataDxfId="117"/>
    <tableColumn id="75" xr3:uid="{00000000-0010-0000-1500-00004B000000}" name="Blocking Status" dataDxfId="116"/>
    <tableColumn id="72" xr3:uid="{00000000-0010-0000-1500-000048000000}" name="Measured Impressions" dataDxfId="115" dataCellStyle="Comma"/>
    <tableColumn id="4" xr3:uid="{00000000-0010-0000-1500-000004000000}" name="Total Impressions" dataDxfId="114" dataCellStyle="Comma"/>
    <tableColumn id="5" xr3:uid="{00000000-0010-0000-1500-000005000000}" name="Measured Rate _x000a_[% Measured]" dataDxfId="113" dataCellStyle="Percent"/>
    <tableColumn id="6" xr3:uid="{00000000-0010-0000-1500-000006000000}" name="See-Through Rate _x000a_[% Visible]" dataDxfId="112" dataCellStyle="Percent"/>
    <tableColumn id="77" xr3:uid="{00000000-0010-0000-1500-00004D000000}" name="Brand Safety _x000a_[% Passed]" dataDxfId="111" dataCellStyle="Percent"/>
    <tableColumn id="41" xr3:uid="{00000000-0010-0000-1500-000029000000}" name="Brand Safety _x000a_[% Failed]" dataDxfId="110" dataCellStyle="Percent"/>
    <tableColumn id="60" xr3:uid="{00000000-0010-0000-1500-00003C000000}" name="Brand Safety _x000a_[% Failed by Content]" dataDxfId="109" dataCellStyle="Percent"/>
    <tableColumn id="63" xr3:uid="{00000000-0010-0000-1500-00003F000000}" name="Brand Safety _x000a_[% Failed by Geo]" dataDxfId="108" dataCellStyle="Percent"/>
    <tableColumn id="7" xr3:uid="{00000000-0010-0000-1500-000007000000}" name="Brand Safety _x000a_[% Failed by Keyword]" dataDxfId="107" dataCellStyle="Percent"/>
    <tableColumn id="8" xr3:uid="{00000000-0010-0000-1500-000008000000}" name="Brand Safety _x000a_[% Failed by Blacklist]" dataDxfId="106" dataCellStyle="Percent"/>
    <tableColumn id="9" xr3:uid="{00000000-0010-0000-1500-000009000000}" name="Brand Safety _x000a_[% Failed by Language]" dataDxfId="105" dataCellStyle="Percent"/>
    <tableColumn id="10" xr3:uid="{00000000-0010-0000-1500-00000A000000}" name="Fraud _x000a_[% Fraud]" dataDxfId="104" dataCellStyle="Percent"/>
    <tableColumn id="11" xr3:uid="{00000000-0010-0000-1500-00000B000000}" name="Viewability _x000a_[Total Viewable Rate (Total Net Metrics)]" dataDxfId="103" dataCellStyle="Percent"/>
    <tableColumn id="2" xr3:uid="{00000000-0010-0000-1500-000002000000}" name="Display Viewability _x000a_[Total Viewable Rate (Total Net Metrics)]" dataDxfId="102" dataCellStyle="Percent"/>
    <tableColumn id="78" xr3:uid="{00000000-0010-0000-1500-00004E000000}" name="Video Viewability _x000a_[Total Viewable Rate (Total Net Metrics)]" dataDxfId="101" dataCellStyle="Percent"/>
    <tableColumn id="12" xr3:uid="{00000000-0010-0000-1500-00000C000000}" name="GroupM Viewability _x000a_[% Display Ads Fully in View]" dataDxfId="100" dataCellStyle="Percent"/>
    <tableColumn id="76" xr3:uid="{00000000-0010-0000-1500-00004C000000}" name="GroupM Viewability _x000a_[% Videos Fully in View]" dataDxfId="99" dataCellStyle="Percent"/>
    <tableColumn id="3" xr3:uid="{00000000-0010-0000-1500-000003000000}" name="Publicis Viewability _x000a_[% Display Ads Fully in View]" dataDxfId="98" dataCellStyle="Percent"/>
    <tableColumn id="13" xr3:uid="{00000000-0010-0000-1500-00000D000000}" name="Publicis Viewability _x000a_[% Videos Fully in View]" dataDxfId="97" dataCellStyle="Percent"/>
  </tableColumns>
  <tableStyleInfo name="New IAS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6000000}" name="BenchmarksPD" displayName="BenchmarksPD" ref="K6:AA13" totalsRowShown="0" headerRowDxfId="96" dataDxfId="95">
  <autoFilter ref="K6:AA13" xr:uid="{00000000-0009-0000-0100-000019000000}"/>
  <tableColumns count="17">
    <tableColumn id="1" xr3:uid="{00000000-0010-0000-1600-000001000000}" name="Measured Rate _x000a_[% Measured]" dataDxfId="94"/>
    <tableColumn id="2" xr3:uid="{00000000-0010-0000-1600-000002000000}" name="See-Through Rate _x000a_[% Visible]" dataDxfId="93"/>
    <tableColumn id="25" xr3:uid="{00000000-0010-0000-1600-000019000000}" name="Brand Safety _x000a_[% Passed]" dataDxfId="92">
      <calculatedColumnFormula array="1">SUM(
(DataPD[Brand Safety 
'[% Passed']]&lt;&gt;"NULL")*
DataPD[Brand Safety 
'[% Passed']]*SUBTOTAL(9,OFFSET(DataPD[Total Impressions],ROW(DataPD[Total Impressions])-MIN(ROW(DataPD[Total Impressions])),0,1)))
/
SUM(
(DataPD[Brand Safety 
'[% Passed']]&lt;&gt;"NULL")*
SUBTOTAL(9,OFFSET(DataPD[Total Impressions],ROW(DataPD[Total Impressions])-MIN(ROW(DataPD[Total Impressions])),0,1)))</calculatedColumnFormula>
    </tableColumn>
    <tableColumn id="23" xr3:uid="{00000000-0010-0000-1600-000017000000}" name="Brand Safety _x000a_[% Failed]" dataDxfId="91"/>
    <tableColumn id="36" xr3:uid="{00000000-0010-0000-1600-000024000000}" name="Brand Safety _x000a_[% Failed by Content]" dataDxfId="90"/>
    <tableColumn id="16" xr3:uid="{00000000-0010-0000-1600-000010000000}" name="Brand Safety _x000a_[% Failed by Geo]" dataDxfId="89"/>
    <tableColumn id="3" xr3:uid="{00000000-0010-0000-1600-000003000000}" name="Brand Safety _x000a_[% Failed by Keyword]" dataDxfId="88"/>
    <tableColumn id="4" xr3:uid="{00000000-0010-0000-1600-000004000000}" name="Brand Safety _x000a_[% Failed by Blacklist]" dataDxfId="87"/>
    <tableColumn id="5" xr3:uid="{00000000-0010-0000-1600-000005000000}" name="Brand Safety _x000a_[% Failed by Language]" dataDxfId="86"/>
    <tableColumn id="6" xr3:uid="{00000000-0010-0000-1600-000006000000}" name="Fraud _x000a_[% Fraud]" dataDxfId="85"/>
    <tableColumn id="7" xr3:uid="{00000000-0010-0000-1600-000007000000}" name="Viewability _x000a_[Total Viewable Rate (Total Net Metrics)]" dataDxfId="84"/>
    <tableColumn id="8" xr3:uid="{00000000-0010-0000-1600-000008000000}" name="Display Viewability _x000a_[Total Viewable Rate (Total Net Metrics)]" dataDxfId="83"/>
    <tableColumn id="26" xr3:uid="{00000000-0010-0000-1600-00001A000000}" name="Video Viewability _x000a_[Total Viewable Rate (Total Net Metrics)]" dataDxfId="82">
      <calculatedColumnFormula array="1">SUM(
IF(DataPD[Video Viewability 
'[Total Viewable Rate (Total Net Metrics)']]&lt;&gt;"NULL",
IF(DataPD[Partner Type]=#REF!,
DataPD[Video Viewability 
'[Total Viewable Rate (Total Net Metrics)']]*
SUBTOTAL(9,OFFSET(DataPD[Total Impressions],ROW(DataPD[Total Impressions])-MIN(ROW(DataPD[Total Impressions])),0,1)))))
/
SUM(
IF(DataPD[Video Viewability 
'[Total Viewable Rate (Total Net Metrics)']]&lt;&gt;"NULL",
IF(DataPD[Partner Type]=#REF!,
SUBTOTAL(9,OFFSET(DataPD[Total Impressions],ROW(DataPD[Total Impressions])-MIN(ROW(DataPD[Total Impressions])),0,1)))))</calculatedColumnFormula>
    </tableColumn>
    <tableColumn id="9" xr3:uid="{00000000-0010-0000-1600-000009000000}" name="GroupM Viewability _x000a_[% Display Ads Fully in View]" dataDxfId="81"/>
    <tableColumn id="24" xr3:uid="{00000000-0010-0000-1600-000018000000}" name="GroupM Viewability _x000a_[% Videos Fully in View]" dataDxfId="80"/>
    <tableColumn id="10" xr3:uid="{00000000-0010-0000-1600-00000A000000}" name="Publicis Viewability _x000a_[% Display Ads Fully in View]" dataDxfId="79"/>
    <tableColumn id="11" xr3:uid="{00000000-0010-0000-1600-00000B000000}" name="Publicis Viewability _x000a_[% Videos Fully in View]" dataDxfId="78"/>
  </tableColumns>
  <tableStyleInfo name="New IAS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7000000}" name="ColumnPD" displayName="ColumnPD" ref="J6:J13" totalsRowShown="0" headerRowDxfId="77" dataDxfId="75" headerRowBorderDxfId="76" tableBorderDxfId="74">
  <autoFilter ref="J6:J13" xr:uid="{00000000-0009-0000-0100-00002A000000}"/>
  <tableColumns count="1">
    <tableColumn id="1" xr3:uid="{00000000-0010-0000-1700-000001000000}" name="Metric" dataDxfId="73"/>
  </tableColumns>
  <tableStyleInfo name="New IAS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8000000}" name="DataCPD" displayName="DataCPD" ref="B15:AA16" totalsRowShown="0" headerRowDxfId="66" dataDxfId="64" headerRowBorderDxfId="65" dataCellStyle="Percent">
  <autoFilter ref="B15:AA16" xr:uid="{00000000-0009-0000-0100-00001E000000}"/>
  <tableColumns count="26">
    <tableColumn id="74" xr3:uid="{00000000-0010-0000-1800-00004A000000}" name="Brand" dataDxfId="63">
      <calculatedColumnFormula>IFERROR(
IF(DataCPD[[#Headers],[Brand]]="Brand",VLOOKUP(DataCPD[[#This Row],[Campaign]],Map_Campaign[],2,0),
IF(DataCPD[[#Headers],[Brand]]="Region (Team)",VLOOKUP(DataCPD[[#This Row],[Team]],Map_Team[],2,0),
IF(DataCPD[[#Headers],[Brand]]="Region (Campaign)",VLOOKUP(DataCPD[[#This Row],[Campaign]],Map_Campaign[],3,0),
IF(DataCPD[[#Headers],[Brand]]="Partner Type",VLOOKUP(DataCPD[[#This Row],[Partner]],Map_Partner[],2,0),
IF(DataCPD[[#Headers],[Brand]]="Device Type",VLOOKUP(DataCPD[[#This Row],[Placement]],Map_Placement[],3,0),
IF(DataCPD[[#Headers],[Brand]]="Creative Size",VLOOKUP(DataCPD[[#This Row],[Placement]],Map_Placement[],2,0),"Not a mapping option.")))))),
"[Unmapped]")</calculatedColumnFormula>
    </tableColumn>
    <tableColumn id="73" xr3:uid="{00000000-0010-0000-1800-000049000000}" name="Team" dataDxfId="62"/>
    <tableColumn id="71" xr3:uid="{00000000-0010-0000-1800-000047000000}" name="Campaign" dataDxfId="61"/>
    <tableColumn id="18" xr3:uid="{00000000-0010-0000-1800-000012000000}" name="Partner" dataDxfId="60"/>
    <tableColumn id="38" xr3:uid="{00000000-0010-0000-1800-000026000000}" name="Placement" dataDxfId="59"/>
    <tableColumn id="122" xr3:uid="{00000000-0010-0000-1800-00007A000000}" name="Device Type" dataDxfId="58"/>
    <tableColumn id="75" xr3:uid="{00000000-0010-0000-1800-00004B000000}" name="Blocking Status" dataDxfId="57"/>
    <tableColumn id="72" xr3:uid="{00000000-0010-0000-1800-000048000000}" name="Measured Impressions" dataDxfId="56" dataCellStyle="Comma"/>
    <tableColumn id="4" xr3:uid="{00000000-0010-0000-1800-000004000000}" name="Total Impressions" dataDxfId="55" dataCellStyle="Comma"/>
    <tableColumn id="5" xr3:uid="{00000000-0010-0000-1800-000005000000}" name="Measured Rate _x000a_[% Measured]" dataDxfId="54" dataCellStyle="Percent"/>
    <tableColumn id="6" xr3:uid="{00000000-0010-0000-1800-000006000000}" name="See-Through Rate _x000a_[% Visible]" dataDxfId="53" dataCellStyle="Percent"/>
    <tableColumn id="77" xr3:uid="{00000000-0010-0000-1800-00004D000000}" name="Brand Safety _x000a_[% Passed]" dataDxfId="52" dataCellStyle="Percent"/>
    <tableColumn id="41" xr3:uid="{00000000-0010-0000-1800-000029000000}" name="Brand Safety _x000a_[% Failed]" dataDxfId="51" dataCellStyle="Percent"/>
    <tableColumn id="60" xr3:uid="{00000000-0010-0000-1800-00003C000000}" name="Brand Safety _x000a_[% Failed by Content]" dataDxfId="50" dataCellStyle="Percent"/>
    <tableColumn id="63" xr3:uid="{00000000-0010-0000-1800-00003F000000}" name="Brand Safety _x000a_[% Failed by Geo]" dataDxfId="49" dataCellStyle="Percent"/>
    <tableColumn id="7" xr3:uid="{00000000-0010-0000-1800-000007000000}" name="Brand Safety _x000a_[% Failed by Keyword]" dataDxfId="48" dataCellStyle="Percent"/>
    <tableColumn id="8" xr3:uid="{00000000-0010-0000-1800-000008000000}" name="Brand Safety _x000a_[% Failed by Blacklist]" dataDxfId="47" dataCellStyle="Percent"/>
    <tableColumn id="9" xr3:uid="{00000000-0010-0000-1800-000009000000}" name="Brand Safety _x000a_[% Failed by Language]" dataDxfId="46" dataCellStyle="Percent"/>
    <tableColumn id="10" xr3:uid="{00000000-0010-0000-1800-00000A000000}" name="Fraud _x000a_[% Fraud]" dataDxfId="45" dataCellStyle="Percent"/>
    <tableColumn id="11" xr3:uid="{00000000-0010-0000-1800-00000B000000}" name="Viewability _x000a_[Total Viewable Rate (Total Net Metrics)]" dataDxfId="44" dataCellStyle="Percent"/>
    <tableColumn id="2" xr3:uid="{00000000-0010-0000-1800-000002000000}" name="Display Viewability _x000a_[Total Viewable Rate (Total Net Metrics)]" dataDxfId="43" dataCellStyle="Percent"/>
    <tableColumn id="78" xr3:uid="{00000000-0010-0000-1800-00004E000000}" name="Video Viewability _x000a_[Total Viewable Rate (Total Net Metrics)]" dataDxfId="42" dataCellStyle="Percent"/>
    <tableColumn id="12" xr3:uid="{00000000-0010-0000-1800-00000C000000}" name="GroupM Viewability _x000a_[% Display Ads Fully in View]" dataDxfId="41" dataCellStyle="Percent"/>
    <tableColumn id="76" xr3:uid="{00000000-0010-0000-1800-00004C000000}" name="GroupM Viewability _x000a_[% Videos Fully in View]" dataDxfId="40" dataCellStyle="Percent"/>
    <tableColumn id="3" xr3:uid="{00000000-0010-0000-1800-000003000000}" name="Publicis Viewability _x000a_[% Display Ads Fully in View]" dataDxfId="39" dataCellStyle="Percent"/>
    <tableColumn id="13" xr3:uid="{00000000-0010-0000-1800-00000D000000}" name="Publicis Viewability _x000a_[% Videos Fully in View]" dataDxfId="38" dataCellStyle="Percent"/>
  </tableColumns>
  <tableStyleInfo name="New IAS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9000000}" name="BenchmarksCPD" displayName="BenchmarksCPD" ref="K6:AA13" totalsRowShown="0" headerRowDxfId="37" dataDxfId="36">
  <autoFilter ref="K6:AA13" xr:uid="{00000000-0009-0000-0100-00001F000000}"/>
  <tableColumns count="17">
    <tableColumn id="1" xr3:uid="{00000000-0010-0000-1900-000001000000}" name="Measured Rate _x000a_[% Measured]" dataDxfId="35"/>
    <tableColumn id="2" xr3:uid="{00000000-0010-0000-1900-000002000000}" name="See-Through Rate _x000a_[% Visible]" dataDxfId="34"/>
    <tableColumn id="25" xr3:uid="{00000000-0010-0000-1900-000019000000}" name="Brand Safety _x000a_[% Passed]" dataDxfId="33">
      <calculatedColumnFormula array="1">SUM(
(DataCPD[Brand Safety 
'[% Passed']]&lt;&gt;"NULL")*
DataCPD[Brand Safety 
'[% Passed']]*SUBTOTAL(9,OFFSET(DataCPD[Total Impressions],ROW(DataCPD[Total Impressions])-MIN(ROW(DataCPD[Total Impressions])),0,1)))
/
SUM(
(DataCPD[Brand Safety 
'[% Passed']]&lt;&gt;"NULL")*
SUBTOTAL(9,OFFSET(DataCPD[Total Impressions],ROW(DataCPD[Total Impressions])-MIN(ROW(DataCPD[Total Impressions])),0,1)))</calculatedColumnFormula>
    </tableColumn>
    <tableColumn id="23" xr3:uid="{00000000-0010-0000-1900-000017000000}" name="Brand Safety _x000a_[% Failed]" dataDxfId="32"/>
    <tableColumn id="36" xr3:uid="{00000000-0010-0000-1900-000024000000}" name="Brand Safety _x000a_[% Failed by Content]" dataDxfId="31"/>
    <tableColumn id="16" xr3:uid="{00000000-0010-0000-1900-000010000000}" name="Brand Safety _x000a_[% Failed by Geo]" dataDxfId="30"/>
    <tableColumn id="3" xr3:uid="{00000000-0010-0000-1900-000003000000}" name="Brand Safety _x000a_[% Failed by Keyword]" dataDxfId="29"/>
    <tableColumn id="4" xr3:uid="{00000000-0010-0000-1900-000004000000}" name="Brand Safety _x000a_[% Failed by Blacklist]" dataDxfId="28"/>
    <tableColumn id="5" xr3:uid="{00000000-0010-0000-1900-000005000000}" name="Brand Safety _x000a_[% Failed by Language]" dataDxfId="27"/>
    <tableColumn id="6" xr3:uid="{00000000-0010-0000-1900-000006000000}" name="Fraud _x000a_[% Fraud]" dataDxfId="26"/>
    <tableColumn id="7" xr3:uid="{00000000-0010-0000-1900-000007000000}" name="Viewability _x000a_[Total Viewable Rate (Total Net Metrics)]" dataDxfId="25"/>
    <tableColumn id="8" xr3:uid="{00000000-0010-0000-1900-000008000000}" name="Display Viewability _x000a_[Total Viewable Rate (Total Net Metrics)]" dataDxfId="24"/>
    <tableColumn id="26" xr3:uid="{00000000-0010-0000-1900-00001A000000}" name="Video Viewability _x000a_[Total Viewable Rate (Total Net Metrics)]" dataDxfId="23">
      <calculatedColumnFormula array="1">SUM(
IF(DataCPD[Video Viewability 
'[Total Viewable Rate (Total Net Metrics)']]&lt;&gt;"NULL",
IF(DataCPD[Brand]=#REF!,
DataCPD[Video Viewability 
'[Total Viewable Rate (Total Net Metrics)']]*
SUBTOTAL(9,OFFSET(DataCPD[Total Impressions],ROW(DataCPD[Total Impressions])-MIN(ROW(DataCPD[Total Impressions])),0,1)))))
/
SUM(
IF(DataCPD[Video Viewability 
'[Total Viewable Rate (Total Net Metrics)']]&lt;&gt;"NULL",
IF(DataCPD[Brand]=#REF!,
SUBTOTAL(9,OFFSET(DataCPD[Total Impressions],ROW(DataCPD[Total Impressions])-MIN(ROW(DataCPD[Total Impressions])),0,1)))))</calculatedColumnFormula>
    </tableColumn>
    <tableColumn id="9" xr3:uid="{00000000-0010-0000-1900-000009000000}" name="GroupM Viewability _x000a_[% Display Ads Fully in View]" dataDxfId="22"/>
    <tableColumn id="24" xr3:uid="{00000000-0010-0000-1900-000018000000}" name="GroupM Viewability _x000a_[% Videos Fully in View]" dataDxfId="21"/>
    <tableColumn id="10" xr3:uid="{00000000-0010-0000-1900-00000A000000}" name="Publicis Viewability _x000a_[% Display Ads Fully in View]" dataDxfId="20"/>
    <tableColumn id="11" xr3:uid="{00000000-0010-0000-1900-00000B000000}" name="Publicis Viewability _x000a_[% Videos Fully in View]" dataDxfId="19"/>
  </tableColumns>
  <tableStyleInfo name="New IAS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A000000}" name="ColumnCPD" displayName="ColumnCPD" ref="J6:J13" totalsRowShown="0" headerRowDxfId="18" dataDxfId="16" headerRowBorderDxfId="17" tableBorderDxfId="15">
  <autoFilter ref="J6:J13" xr:uid="{00000000-0009-0000-0100-00002B000000}"/>
  <tableColumns count="1">
    <tableColumn id="1" xr3:uid="{00000000-0010-0000-1A00-000001000000}" name="Metric" dataDxfId="14"/>
  </tableColumns>
  <tableStyleInfo name="New IAS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1B000000}" name="Benchmark_Legend" displayName="Benchmark_Legend" ref="B4:C21" totalsRowShown="0" headerRowDxfId="13" dataDxfId="12">
  <autoFilter ref="B4:C21" xr:uid="{00000000-0009-0000-0100-000004000000}"/>
  <tableColumns count="2">
    <tableColumn id="1" xr3:uid="{00000000-0010-0000-1B00-000001000000}" name="Metric" dataDxfId="11"/>
    <tableColumn id="6" xr3:uid="{00000000-0010-0000-1B00-000006000000}" name="Client Goals" dataDxfId="10"/>
  </tableColumns>
  <tableStyleInfo name="New IAS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C000000}" name="Map_Campaign" displayName="Map_Campaign" ref="E4:G7" totalsRowShown="0" headerRowDxfId="9" headerRowBorderDxfId="8" tableBorderDxfId="7" totalsRowBorderDxfId="6">
  <autoFilter ref="E4:G7" xr:uid="{00000000-0009-0000-0100-000012000000}"/>
  <tableColumns count="3">
    <tableColumn id="1" xr3:uid="{00000000-0010-0000-1C00-000001000000}" name="Campaign"/>
    <tableColumn id="2" xr3:uid="{00000000-0010-0000-1C00-000002000000}" name="Brand"/>
    <tableColumn id="3" xr3:uid="{00000000-0010-0000-1C00-000003000000}" name="Region"/>
  </tableColumns>
  <tableStyleInfo name="Table Style 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D000000}" name="Map_Team" displayName="Map_Team" ref="B4:C7" totalsRowShown="0" headerRowDxfId="5" tableBorderDxfId="4">
  <autoFilter ref="B4:C7" xr:uid="{00000000-0009-0000-0100-000013000000}"/>
  <tableColumns count="2">
    <tableColumn id="1" xr3:uid="{00000000-0010-0000-1D00-000001000000}" name="Team"/>
    <tableColumn id="2" xr3:uid="{00000000-0010-0000-1D00-000002000000}" name="Region"/>
  </tableColumns>
  <tableStyleInfo name="Table Style 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E000000}" name="Map_Partner" displayName="Map_Partner" ref="I4:J7" totalsRowShown="0" headerRowDxfId="3" tableBorderDxfId="2">
  <autoFilter ref="I4:J7" xr:uid="{00000000-0009-0000-0100-000014000000}"/>
  <tableColumns count="2">
    <tableColumn id="1" xr3:uid="{00000000-0010-0000-1E00-000001000000}" name="Partner"/>
    <tableColumn id="2" xr3:uid="{00000000-0010-0000-1E00-000002000000}" name="Partner Type"/>
  </tableColumns>
  <tableStyleInfo name="Table Style 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F000000}" name="Map_Placement" displayName="Map_Placement" ref="L4:N81" totalsRowShown="0" headerRowDxfId="1" tableBorderDxfId="0">
  <autoFilter ref="L4:N81" xr:uid="{00000000-0009-0000-0100-000015000000}"/>
  <tableColumns count="3">
    <tableColumn id="1" xr3:uid="{00000000-0010-0000-1F00-000001000000}" name="Placement"/>
    <tableColumn id="2" xr3:uid="{00000000-0010-0000-1F00-000002000000}" name="Creative Size"/>
    <tableColumn id="3" xr3:uid="{00000000-0010-0000-1F00-000003000000}" name="Device Type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IAS">
      <a:dk1>
        <a:sysClr val="windowText" lastClr="000000"/>
      </a:dk1>
      <a:lt1>
        <a:srgbClr val="FFFFFF"/>
      </a:lt1>
      <a:dk2>
        <a:srgbClr val="00324A"/>
      </a:dk2>
      <a:lt2>
        <a:srgbClr val="E3F1F2"/>
      </a:lt2>
      <a:accent1>
        <a:srgbClr val="FF574A"/>
      </a:accent1>
      <a:accent2>
        <a:srgbClr val="00D1C0"/>
      </a:accent2>
      <a:accent3>
        <a:srgbClr val="596FFF"/>
      </a:accent3>
      <a:accent4>
        <a:srgbClr val="FFD12B"/>
      </a:accent4>
      <a:accent5>
        <a:srgbClr val="C3DCDE"/>
      </a:accent5>
      <a:accent6>
        <a:srgbClr val="2C9C89"/>
      </a:accent6>
      <a:hlink>
        <a:srgbClr val="0645AD"/>
      </a:hlink>
      <a:folHlink>
        <a:srgbClr val="A55858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Relationship Id="rId4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drawing" Target="../drawings/drawing4.xml"/><Relationship Id="rId4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drawing" Target="../drawings/drawing5.xml"/><Relationship Id="rId4" Type="http://schemas.openxmlformats.org/officeDocument/2006/relationships/table" Target="../tables/table1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drawing" Target="../drawings/drawing7.xml"/><Relationship Id="rId4" Type="http://schemas.openxmlformats.org/officeDocument/2006/relationships/table" Target="../tables/table2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drawing" Target="../drawings/drawing8.xml"/><Relationship Id="rId4" Type="http://schemas.openxmlformats.org/officeDocument/2006/relationships/table" Target="../tables/table2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27.xml"/><Relationship Id="rId4" Type="http://schemas.openxmlformats.org/officeDocument/2006/relationships/table" Target="../tables/table2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table" Target="../tables/table30.xml"/><Relationship Id="rId1" Type="http://schemas.openxmlformats.org/officeDocument/2006/relationships/table" Target="../tables/table29.xml"/><Relationship Id="rId4" Type="http://schemas.openxmlformats.org/officeDocument/2006/relationships/table" Target="../tables/table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2"/>
  <dimension ref="A1:DS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33" sqref="K33"/>
    </sheetView>
  </sheetViews>
  <sheetFormatPr defaultColWidth="0" defaultRowHeight="15" customHeight="1" x14ac:dyDescent="0.25"/>
  <cols>
    <col min="1" max="1" width="2.26953125" style="130" customWidth="1"/>
    <col min="2" max="2" width="22.1796875" style="202" hidden="1" customWidth="1"/>
    <col min="3" max="3" width="60.7265625" style="202" customWidth="1"/>
    <col min="4" max="4" width="60.7265625" style="202" hidden="1" customWidth="1"/>
    <col min="5" max="5" width="60.54296875" style="202" hidden="1" customWidth="1"/>
    <col min="6" max="6" width="60.7265625" style="202" hidden="1" customWidth="1"/>
    <col min="7" max="7" width="16.26953125" style="202" hidden="1" customWidth="1"/>
    <col min="8" max="8" width="21.81640625" style="202" customWidth="1"/>
    <col min="9" max="9" width="21.7265625" style="202" hidden="1" customWidth="1"/>
    <col min="10" max="10" width="24.453125" style="130" customWidth="1"/>
    <col min="11" max="11" width="24.453125" style="134" customWidth="1"/>
    <col min="12" max="47" width="23.453125" style="134" customWidth="1"/>
    <col min="48" max="79" width="17" style="134" customWidth="1"/>
    <col min="80" max="81" width="17.1796875" style="134" customWidth="1"/>
    <col min="82" max="102" width="17.1796875" style="130" customWidth="1"/>
    <col min="103" max="106" width="12.26953125" style="130" customWidth="1"/>
    <col min="107" max="114" width="12.453125" style="130" customWidth="1"/>
    <col min="115" max="121" width="8.81640625" style="130" customWidth="1"/>
    <col min="122" max="122" width="8.453125" style="135" customWidth="1"/>
    <col min="123" max="123" width="8.81640625" style="130" customWidth="1"/>
    <col min="124" max="16384" width="8.81640625" style="130" hidden="1"/>
  </cols>
  <sheetData>
    <row r="1" spans="1:122" ht="15.75" customHeight="1" thickBot="1" x14ac:dyDescent="0.3">
      <c r="B1" s="131"/>
      <c r="C1" s="131"/>
      <c r="D1" s="131"/>
      <c r="E1" s="132"/>
      <c r="F1" s="133" t="s">
        <v>21</v>
      </c>
      <c r="G1" s="133" t="s">
        <v>21</v>
      </c>
      <c r="H1" s="131"/>
      <c r="I1" s="133" t="s">
        <v>21</v>
      </c>
      <c r="J1" s="134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30"/>
      <c r="AY1" s="130"/>
      <c r="AZ1" s="130"/>
      <c r="BA1" s="130"/>
      <c r="BB1" s="130"/>
      <c r="BC1" s="130"/>
      <c r="BD1" s="130"/>
      <c r="BE1" s="130"/>
      <c r="BF1" s="130"/>
      <c r="BG1" s="130"/>
      <c r="BH1" s="130"/>
      <c r="BI1" s="130"/>
      <c r="BJ1" s="130"/>
      <c r="BK1" s="130"/>
      <c r="BL1" s="130"/>
      <c r="BM1" s="130"/>
      <c r="BN1" s="130"/>
      <c r="BO1" s="130"/>
      <c r="BP1" s="130"/>
      <c r="BQ1" s="130"/>
      <c r="BR1" s="130"/>
      <c r="BS1" s="130"/>
      <c r="BT1" s="130"/>
      <c r="BU1" s="130"/>
      <c r="BV1" s="130"/>
      <c r="BW1" s="130"/>
      <c r="BX1" s="130"/>
      <c r="BY1" s="130"/>
      <c r="BZ1" s="130"/>
      <c r="CA1" s="130"/>
      <c r="CB1" s="130"/>
      <c r="CC1" s="130"/>
      <c r="DQ1" s="135"/>
      <c r="DR1" s="130"/>
    </row>
    <row r="2" spans="1:122" ht="15.75" customHeight="1" thickBot="1" x14ac:dyDescent="0.3">
      <c r="B2" s="131"/>
      <c r="C2" s="131"/>
      <c r="D2" s="131"/>
      <c r="E2" s="132"/>
      <c r="F2" s="136"/>
      <c r="G2" s="136"/>
      <c r="H2" s="131"/>
      <c r="I2" s="136"/>
      <c r="J2" s="137" t="s">
        <v>12</v>
      </c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8"/>
      <c r="Y2" s="138"/>
      <c r="Z2" s="130"/>
      <c r="AA2" s="130"/>
      <c r="AB2" s="130"/>
      <c r="AC2" s="131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  <c r="AY2" s="130"/>
      <c r="AZ2" s="130"/>
      <c r="BA2" s="130"/>
      <c r="BB2" s="130"/>
      <c r="BC2" s="130"/>
      <c r="BD2" s="130"/>
      <c r="BE2" s="130"/>
      <c r="BF2" s="130"/>
      <c r="BG2" s="130"/>
      <c r="BH2" s="130"/>
      <c r="BI2" s="130"/>
      <c r="BJ2" s="130"/>
      <c r="BK2" s="130"/>
      <c r="BL2" s="130"/>
      <c r="BM2" s="130"/>
      <c r="BN2" s="130"/>
      <c r="BO2" s="130"/>
      <c r="BP2" s="130"/>
      <c r="BQ2" s="130"/>
      <c r="BR2" s="130"/>
      <c r="BS2" s="130"/>
      <c r="BT2" s="130"/>
      <c r="BU2" s="130"/>
      <c r="BV2" s="130"/>
      <c r="BW2" s="130"/>
      <c r="BX2" s="130"/>
      <c r="BY2" s="130"/>
      <c r="BZ2" s="130"/>
      <c r="CA2" s="130"/>
      <c r="CB2" s="130"/>
      <c r="CC2" s="130"/>
      <c r="DQ2" s="135"/>
      <c r="DR2" s="130"/>
    </row>
    <row r="3" spans="1:122" ht="15" customHeight="1" x14ac:dyDescent="0.25">
      <c r="B3" s="131"/>
      <c r="C3" s="131"/>
      <c r="D3" s="131"/>
      <c r="E3" s="132"/>
      <c r="F3" s="136"/>
      <c r="G3" s="136"/>
      <c r="H3" s="131"/>
      <c r="I3" s="136"/>
      <c r="J3" s="139">
        <v>0.3</v>
      </c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8"/>
      <c r="Y3" s="138"/>
      <c r="Z3" s="130"/>
      <c r="AA3" s="130"/>
      <c r="AB3" s="130"/>
      <c r="AC3" s="131"/>
      <c r="AD3" s="130"/>
      <c r="AE3" s="130"/>
      <c r="AF3" s="130"/>
      <c r="AG3" s="130"/>
      <c r="AH3" s="130"/>
      <c r="AI3" s="130"/>
      <c r="AJ3" s="130"/>
      <c r="AK3" s="130"/>
      <c r="AL3" s="130"/>
      <c r="AM3" s="130"/>
      <c r="AN3" s="130"/>
      <c r="AO3" s="130"/>
      <c r="AP3" s="130"/>
      <c r="AQ3" s="130"/>
      <c r="AR3" s="130"/>
      <c r="AS3" s="130"/>
      <c r="AT3" s="130"/>
      <c r="AU3" s="130"/>
      <c r="AV3" s="130"/>
      <c r="AW3" s="130"/>
      <c r="AX3" s="130"/>
      <c r="AY3" s="130"/>
      <c r="AZ3" s="130"/>
      <c r="BA3" s="130"/>
      <c r="BB3" s="130"/>
      <c r="BC3" s="130"/>
      <c r="BD3" s="130"/>
      <c r="BE3" s="130"/>
      <c r="BF3" s="130"/>
      <c r="BG3" s="130"/>
      <c r="BH3" s="130"/>
      <c r="BI3" s="130"/>
      <c r="BJ3" s="130"/>
      <c r="BK3" s="130"/>
      <c r="BL3" s="130"/>
      <c r="BM3" s="130"/>
      <c r="BN3" s="130"/>
      <c r="BO3" s="130"/>
      <c r="BP3" s="130"/>
      <c r="BQ3" s="130"/>
      <c r="BR3" s="130"/>
      <c r="BS3" s="130"/>
      <c r="BT3" s="130"/>
      <c r="BU3" s="130"/>
      <c r="BV3" s="130"/>
      <c r="BW3" s="130"/>
      <c r="BX3" s="130"/>
      <c r="BY3" s="130"/>
      <c r="BZ3" s="130"/>
      <c r="CA3" s="130"/>
      <c r="CB3" s="130"/>
      <c r="CC3" s="130"/>
      <c r="DQ3" s="135"/>
      <c r="DR3" s="130"/>
    </row>
    <row r="4" spans="1:122" ht="15" customHeight="1" thickBot="1" x14ac:dyDescent="0.3">
      <c r="B4" s="131"/>
      <c r="C4" s="131"/>
      <c r="D4" s="131"/>
      <c r="E4" s="132"/>
      <c r="F4" s="136"/>
      <c r="G4" s="136"/>
      <c r="H4" s="131"/>
      <c r="I4" s="136"/>
      <c r="J4" s="140">
        <v>0.3</v>
      </c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  <c r="AT4" s="130"/>
      <c r="AU4" s="130"/>
      <c r="AV4" s="130"/>
      <c r="AW4" s="130"/>
      <c r="AX4" s="130"/>
      <c r="AY4" s="130"/>
      <c r="AZ4" s="130"/>
      <c r="BA4" s="130"/>
      <c r="BB4" s="130"/>
      <c r="BC4" s="130"/>
      <c r="BD4" s="130"/>
      <c r="BE4" s="130"/>
      <c r="BF4" s="130"/>
      <c r="BG4" s="130"/>
      <c r="BH4" s="130"/>
      <c r="BI4" s="130"/>
      <c r="BJ4" s="130"/>
      <c r="BK4" s="130"/>
      <c r="BL4" s="130"/>
      <c r="BM4" s="130"/>
      <c r="BN4" s="130"/>
      <c r="BO4" s="130"/>
      <c r="BP4" s="130"/>
      <c r="BQ4" s="130"/>
      <c r="BR4" s="130"/>
      <c r="BS4" s="130"/>
      <c r="BT4" s="130"/>
      <c r="BU4" s="130"/>
      <c r="BV4" s="130"/>
      <c r="BW4" s="130"/>
      <c r="BX4" s="130"/>
      <c r="BY4" s="130"/>
      <c r="BZ4" s="130"/>
      <c r="CA4" s="130"/>
      <c r="CB4" s="130"/>
      <c r="CC4" s="130"/>
      <c r="DQ4" s="135"/>
      <c r="DR4" s="130"/>
    </row>
    <row r="5" spans="1:122" ht="15.75" customHeight="1" thickBot="1" x14ac:dyDescent="0.3">
      <c r="B5" s="131"/>
      <c r="C5" s="131"/>
      <c r="D5" s="131"/>
      <c r="E5" s="132"/>
      <c r="F5" s="136"/>
      <c r="G5" s="136"/>
      <c r="H5" s="131"/>
      <c r="I5" s="136"/>
      <c r="J5" s="141"/>
      <c r="K5" s="130"/>
      <c r="L5" s="130"/>
      <c r="M5" s="130"/>
      <c r="N5" s="130"/>
      <c r="O5" s="142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8"/>
      <c r="AH5" s="138"/>
      <c r="AI5" s="138"/>
      <c r="AJ5" s="138"/>
      <c r="AK5" s="138"/>
      <c r="AL5" s="138"/>
      <c r="AM5" s="138"/>
      <c r="AN5" s="138"/>
      <c r="AO5" s="130"/>
      <c r="AP5" s="130"/>
      <c r="AQ5" s="130"/>
      <c r="AR5" s="130"/>
      <c r="AS5" s="130"/>
      <c r="AT5" s="130"/>
      <c r="AU5" s="130"/>
      <c r="AV5" s="130"/>
      <c r="AW5" s="130"/>
      <c r="AX5" s="130"/>
      <c r="AY5" s="130"/>
      <c r="AZ5" s="130"/>
      <c r="BA5" s="130"/>
      <c r="BB5" s="130"/>
      <c r="BC5" s="130"/>
      <c r="BD5" s="130"/>
      <c r="BE5" s="130"/>
      <c r="BF5" s="130"/>
      <c r="BG5" s="130"/>
      <c r="BH5" s="130"/>
      <c r="BI5" s="130"/>
      <c r="BJ5" s="130"/>
      <c r="BK5" s="130"/>
      <c r="BL5" s="130"/>
      <c r="BM5" s="130"/>
      <c r="BN5" s="130"/>
      <c r="BO5" s="130"/>
      <c r="BP5" s="130"/>
      <c r="BQ5" s="130"/>
      <c r="BR5" s="130"/>
      <c r="BS5" s="130"/>
      <c r="BT5" s="130"/>
      <c r="BU5" s="130"/>
      <c r="BV5" s="130"/>
      <c r="BW5" s="130"/>
      <c r="BX5" s="130"/>
      <c r="BY5" s="130"/>
      <c r="BZ5" s="130"/>
      <c r="CA5" s="130"/>
      <c r="CB5" s="130"/>
      <c r="CC5" s="130"/>
      <c r="DQ5" s="135"/>
      <c r="DR5" s="130"/>
    </row>
    <row r="6" spans="1:122" s="138" customFormat="1" ht="42.65" customHeight="1" thickBot="1" x14ac:dyDescent="0.4">
      <c r="A6" s="143"/>
      <c r="B6" s="215" t="s">
        <v>155</v>
      </c>
      <c r="C6" s="215"/>
      <c r="D6" s="216"/>
      <c r="E6" s="144"/>
      <c r="F6" s="145"/>
      <c r="G6" s="209" t="s">
        <v>133</v>
      </c>
      <c r="H6" s="210"/>
      <c r="I6" s="146"/>
      <c r="J6" s="147" t="s">
        <v>1</v>
      </c>
      <c r="K6" s="148" t="s">
        <v>4</v>
      </c>
      <c r="L6" s="148" t="s">
        <v>162</v>
      </c>
      <c r="M6" s="148" t="s">
        <v>23</v>
      </c>
      <c r="N6" s="148" t="s">
        <v>5</v>
      </c>
      <c r="O6" s="148" t="s">
        <v>24</v>
      </c>
      <c r="P6" s="148" t="s">
        <v>25</v>
      </c>
      <c r="Q6" s="148" t="s">
        <v>26</v>
      </c>
      <c r="R6" s="148" t="s">
        <v>27</v>
      </c>
      <c r="S6" s="148" t="s">
        <v>156</v>
      </c>
      <c r="T6" s="148" t="s">
        <v>28</v>
      </c>
      <c r="U6" s="148" t="s">
        <v>157</v>
      </c>
      <c r="V6" s="148" t="s">
        <v>158</v>
      </c>
      <c r="W6" s="148" t="s">
        <v>159</v>
      </c>
      <c r="X6" s="148" t="s">
        <v>160</v>
      </c>
      <c r="Y6" s="148" t="s">
        <v>161</v>
      </c>
      <c r="Z6" s="148" t="s">
        <v>163</v>
      </c>
      <c r="AA6" s="148" t="s">
        <v>164</v>
      </c>
      <c r="AB6" s="149"/>
    </row>
    <row r="7" spans="1:122" s="138" customFormat="1" ht="15" hidden="1" customHeight="1" thickBot="1" x14ac:dyDescent="0.4">
      <c r="A7" s="150"/>
      <c r="B7" s="151"/>
      <c r="C7" s="151"/>
      <c r="D7" s="152"/>
      <c r="E7" s="144"/>
      <c r="F7" s="145"/>
      <c r="G7" s="211" t="s">
        <v>132</v>
      </c>
      <c r="H7" s="212"/>
      <c r="I7" s="153"/>
      <c r="J7" s="154" t="s">
        <v>0</v>
      </c>
      <c r="K7" s="155" t="s">
        <v>2</v>
      </c>
      <c r="L7" s="155" t="s">
        <v>2</v>
      </c>
      <c r="M7" s="156" t="s">
        <v>2</v>
      </c>
      <c r="N7" s="156" t="s">
        <v>3</v>
      </c>
      <c r="O7" s="156" t="s">
        <v>3</v>
      </c>
      <c r="P7" s="156" t="s">
        <v>3</v>
      </c>
      <c r="Q7" s="29" t="s">
        <v>3</v>
      </c>
      <c r="R7" s="155" t="s">
        <v>3</v>
      </c>
      <c r="S7" s="155" t="s">
        <v>3</v>
      </c>
      <c r="T7" s="155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5" t="s">
        <v>2</v>
      </c>
      <c r="AA7" s="155" t="s">
        <v>2</v>
      </c>
      <c r="AB7" s="149"/>
    </row>
    <row r="8" spans="1:122" s="138" customFormat="1" ht="15.75" customHeight="1" x14ac:dyDescent="0.35">
      <c r="A8" s="143"/>
      <c r="B8" s="217" t="str">
        <f ca="1">MID(CELL("filename",A1),FIND("]",CELL("filename",A1))+1,255)&amp;" Level Scorecard"</f>
        <v>Team Level Scorecard</v>
      </c>
      <c r="C8" s="217"/>
      <c r="D8" s="218"/>
      <c r="E8" s="144"/>
      <c r="F8" s="145"/>
      <c r="G8" s="213" t="s">
        <v>132</v>
      </c>
      <c r="H8" s="214"/>
      <c r="I8" s="157"/>
      <c r="J8" s="158" t="s">
        <v>16</v>
      </c>
      <c r="K8" s="203">
        <f>VLOOKUP(K6,Benchmark_Legend[],MATCH(ColumnT[[#This Row],[Metric]],Benchmark_Legend[#Headers],0),0)</f>
        <v>0.7</v>
      </c>
      <c r="L8" s="159">
        <f>VLOOKUP(L6,Benchmark_Legend[],MATCH(ColumnT[[#This Row],[Metric]],Benchmark_Legend[#Headers],0),0)</f>
        <v>0.98</v>
      </c>
      <c r="M8" s="160">
        <f>VLOOKUP(M6,Benchmark_Legend[],MATCH(ColumnT[[#This Row],[Metric]],Benchmark_Legend[#Headers],0),0)</f>
        <v>0.95</v>
      </c>
      <c r="N8" s="161">
        <f>VLOOKUP(N6,Benchmark_Legend[],MATCH(ColumnT[[#This Row],[Metric]],Benchmark_Legend[#Headers],0),0)</f>
        <v>0.05</v>
      </c>
      <c r="O8" s="161">
        <f>VLOOKUP(O6,Benchmark_Legend[],MATCH(ColumnT[[#This Row],[Metric]],Benchmark_Legend[#Headers],0),0)</f>
        <v>0.02</v>
      </c>
      <c r="P8" s="161">
        <f>VLOOKUP(P6,Benchmark_Legend[],MATCH(ColumnT[[#This Row],[Metric]],Benchmark_Legend[#Headers],0),0)</f>
        <v>0.02</v>
      </c>
      <c r="Q8" s="159">
        <f>VLOOKUP(Q6,Benchmark_Legend[],MATCH(ColumnT[[#This Row],[Metric]],Benchmark_Legend[#Headers],0),0)</f>
        <v>0.01</v>
      </c>
      <c r="R8" s="159">
        <f>VLOOKUP(R6,Benchmark_Legend[],MATCH(ColumnT[[#This Row],[Metric]],Benchmark_Legend[#Headers],0),0)</f>
        <v>0.01</v>
      </c>
      <c r="S8" s="159">
        <f>VLOOKUP(S6,Benchmark_Legend[],MATCH(ColumnT[[#This Row],[Metric]],Benchmark_Legend[#Headers],0),0)</f>
        <v>0.01</v>
      </c>
      <c r="T8" s="162">
        <f>VLOOKUP(T6,Benchmark_Legend[],MATCH(ColumnT[[#This Row],[Metric]],Benchmark_Legend[#Headers],0),0)</f>
        <v>0.03</v>
      </c>
      <c r="U8" s="162">
        <f>VLOOKUP(U6,Benchmark_Legend[],MATCH(ColumnT[[#This Row],[Metric]],Benchmark_Legend[#Headers],0),0)</f>
        <v>0.55000000000000004</v>
      </c>
      <c r="V8" s="162">
        <f>VLOOKUP(V6,Benchmark_Legend[],MATCH(ColumnT[[#This Row],[Metric]],Benchmark_Legend[#Headers],0),0)</f>
        <v>0.6</v>
      </c>
      <c r="W8" s="163">
        <f>VLOOKUP(W6,Benchmark_Legend[],MATCH(ColumnT[[#This Row],[Metric]],Benchmark_Legend[#Headers],0),0)</f>
        <v>0.5</v>
      </c>
      <c r="X8" s="159">
        <f>VLOOKUP(X6,Benchmark_Legend[],MATCH(ColumnT[[#This Row],[Metric]],Benchmark_Legend[#Headers],0),0)</f>
        <v>0.35</v>
      </c>
      <c r="Y8" s="161">
        <f>VLOOKUP(Y6,Benchmark_Legend[],MATCH(ColumnT[[#This Row],[Metric]],Benchmark_Legend[#Headers],0),0)</f>
        <v>0.25</v>
      </c>
      <c r="Z8" s="159">
        <f>VLOOKUP(Z6,Benchmark_Legend[],MATCH(ColumnT[[#This Row],[Metric]],Benchmark_Legend[#Headers],0),0)</f>
        <v>0.35</v>
      </c>
      <c r="AA8" s="159">
        <f>VLOOKUP(AA6,Benchmark_Legend[],MATCH(ColumnT[[#This Row],[Metric]],Benchmark_Legend[#Headers],0),0)</f>
        <v>0.25</v>
      </c>
      <c r="AB8" s="149"/>
    </row>
    <row r="9" spans="1:122" s="138" customFormat="1" ht="15.75" customHeight="1" thickBot="1" x14ac:dyDescent="0.4">
      <c r="A9" s="143"/>
      <c r="B9" s="206" t="s">
        <v>154</v>
      </c>
      <c r="C9" s="206"/>
      <c r="D9" s="207"/>
      <c r="E9" s="164"/>
      <c r="F9" s="145"/>
      <c r="G9" s="165" t="s">
        <v>14</v>
      </c>
      <c r="H9" s="166" t="s">
        <v>14</v>
      </c>
      <c r="I9" s="167"/>
      <c r="J9" s="168" t="s">
        <v>130</v>
      </c>
      <c r="K9" s="169">
        <f t="array" aca="1" ref="K9" ca="1">SUM(
IF((DataT[Measured Rate 
'[% Measured']]&lt;&gt;"NULL"),
DataT[Measured Rate 
'[% Measured']]*
SUBTOTAL(9,OFFSET(DataT[Total Impressions],ROW(DataT[Total Impressions])-MIN(ROW(DataT[Total Impressions])),0,1))))
/
SUM(
IF((DataT[Measured Rate 
'[% Measured']]&lt;&gt;"NULL"),
SUBTOTAL(9,OFFSET(DataT[Total Impressions],ROW(DataT[Total Impressions])-MIN(ROW(DataT[Total Impressions])),0,1))))</f>
        <v>0.7</v>
      </c>
      <c r="L9" s="169">
        <f t="array" aca="1" ref="L9" ca="1">SUM(
IF((DataT[See-Through Rate 
'[% Visible']]&lt;&gt;"NULL"),
DataT[See-Through Rate 
'[% Visible']]*
SUBTOTAL(9,OFFSET(DataT[Total Impressions],ROW(DataT[Total Impressions])-MIN(ROW(DataT[Total Impressions])),0,1))))
/
SUM(
IF((DataT[See-Through Rate 
'[% Visible']]&lt;&gt;"NULL"),
SUBTOTAL(9,OFFSET(DataT[Total Impressions],ROW(DataT[Total Impressions])-MIN(ROW(DataT[Total Impressions])),0,1))))</f>
        <v>0.98</v>
      </c>
      <c r="M9" s="170">
        <f t="array" aca="1" ref="M9" ca="1">SUM(
IF((DataT[Brand Safety 
'[% Passed']]&lt;&gt;"NULL"),
DataT[Brand Safety 
'[% Passed']]*
SUBTOTAL(9,OFFSET(DataT[Total Impressions],ROW(DataT[Total Impressions])-MIN(ROW(DataT[Total Impressions])),0,1))))
/
SUM(
IF((DataT[Brand Safety 
'[% Passed']]&lt;&gt;"NULL"),
SUBTOTAL(9,OFFSET(DataT[Total Impressions],ROW(DataT[Total Impressions])-MIN(ROW(DataT[Total Impressions])),0,1))))</f>
        <v>0.95</v>
      </c>
      <c r="N9" s="170">
        <f t="array" aca="1" ref="N9" ca="1">SUM(
IF((DataT[Brand Safety 
'[% Failed']]&lt;&gt;"NULL"),
DataT[Brand Safety 
'[% Failed']]*
SUBTOTAL(9,OFFSET(DataT[Total Impressions],ROW(DataT[Total Impressions])-MIN(ROW(DataT[Total Impressions])),0,1))))
/
SUM(
IF((DataT[Brand Safety 
'[% Failed']]&lt;&gt;"NULL"),
SUBTOTAL(9,OFFSET(DataT[Total Impressions],ROW(DataT[Total Impressions])-MIN(ROW(DataT[Total Impressions])),0,1))))</f>
        <v>0.05</v>
      </c>
      <c r="O9" s="170">
        <f t="array" aca="1" ref="O9" ca="1">SUM(
IF((DataT[Brand Safety 
'[% Failed by Content']]&lt;&gt;"NULL"),
DataT[Brand Safety 
'[% Failed by Content']]*
SUBTOTAL(9,OFFSET(DataT[Total Impressions],ROW(DataT[Total Impressions])-MIN(ROW(DataT[Total Impressions])),0,1))))
/
SUM(
IF((DataT[Brand Safety 
'[% Failed by Content']]&lt;&gt;"NULL"),
SUBTOTAL(9,OFFSET(DataT[Total Impressions],ROW(DataT[Total Impressions])-MIN(ROW(DataT[Total Impressions])),0,1))))</f>
        <v>0.02</v>
      </c>
      <c r="P9" s="170">
        <f t="array" aca="1" ref="P9" ca="1">SUM(
IF((DataT[Brand Safety 
'[% Failed by Geo']]&lt;&gt;"NULL"),
DataT[Brand Safety 
'[% Failed by Geo']]*
SUBTOTAL(9,OFFSET(DataT[Total Impressions],ROW(DataT[Total Impressions])-MIN(ROW(DataT[Total Impressions])),0,1))))
/
SUM(
IF((DataT[Brand Safety 
'[% Failed by Geo']]&lt;&gt;"NULL"),
SUBTOTAL(9,OFFSET(DataT[Total Impressions],ROW(DataT[Total Impressions])-MIN(ROW(DataT[Total Impressions])),0,1))))</f>
        <v>0.02</v>
      </c>
      <c r="Q9" s="169">
        <f t="array" aca="1" ref="Q9" ca="1">SUM(
IF((DataT[Brand Safety 
'[% Failed by Keyword']]&lt;&gt;"NULL"),
DataT[Brand Safety 
'[% Failed by Keyword']]*
SUBTOTAL(9,OFFSET(DataT[Total Impressions],ROW(DataT[Total Impressions])-MIN(ROW(DataT[Total Impressions])),0,1))))
/
SUM(
IF((DataT[Brand Safety 
'[% Failed by Keyword']]&lt;&gt;"NULL"),
SUBTOTAL(9,OFFSET(DataT[Total Impressions],ROW(DataT[Total Impressions])-MIN(ROW(DataT[Total Impressions])),0,1))))</f>
        <v>0.01</v>
      </c>
      <c r="R9" s="169">
        <f t="array" aca="1" ref="R9" ca="1">SUM(
IF((DataT[Brand Safety 
'[% Failed by Blacklist']]&lt;&gt;"NULL"),
DataT[Brand Safety 
'[% Failed by Blacklist']]*
SUBTOTAL(9,OFFSET(DataT[Total Impressions],ROW(DataT[Total Impressions])-MIN(ROW(DataT[Total Impressions])),0,1))))
/
SUM(
IF((DataT[Brand Safety 
'[% Failed by Blacklist']]&lt;&gt;"NULL"),
SUBTOTAL(9,OFFSET(DataT[Total Impressions],ROW(DataT[Total Impressions])-MIN(ROW(DataT[Total Impressions])),0,1))))</f>
        <v>0.01</v>
      </c>
      <c r="S9" s="169">
        <f t="array" aca="1" ref="S9" ca="1">SUM(
IF((DataT[Brand Safety 
'[% Failed by Language']]&lt;&gt;"NULL"),
DataT[Brand Safety 
'[% Failed by Language']]*
SUBTOTAL(9,OFFSET(DataT[Total Impressions],ROW(DataT[Total Impressions])-MIN(ROW(DataT[Total Impressions])),0,1))))
/
SUM(
IF((DataT[Brand Safety 
'[% Failed by Language']]&lt;&gt;"NULL"),
SUBTOTAL(9,OFFSET(DataT[Total Impressions],ROW(DataT[Total Impressions])-MIN(ROW(DataT[Total Impressions])),0,1))))</f>
        <v>0.01</v>
      </c>
      <c r="T9" s="169">
        <f t="array" aca="1" ref="T9" ca="1">SUM(
IF((DataT[Fraud 
'[% Fraud']]&lt;&gt;"NULL"),
DataT[Fraud 
'[% Fraud']]*
SUBTOTAL(9,OFFSET(DataT[Total Impressions],ROW(DataT[Total Impressions])-MIN(ROW(DataT[Total Impressions])),0,1))))
/
SUM(
IF((DataT[Fraud 
'[% Fraud']]&lt;&gt;"NULL"),
SUBTOTAL(9,OFFSET(DataT[Total Impressions],ROW(DataT[Total Impressions])-MIN(ROW(DataT[Total Impressions])),0,1))))</f>
        <v>0.03</v>
      </c>
      <c r="U9" s="169">
        <f t="array" aca="1" ref="U9" ca="1">SUM(
IF((DataT[Viewability 
'[Total Viewable Rate (Total Net Metrics)']]&lt;&gt;"NULL"),
DataT[Viewability 
'[Total Viewable Rate (Total Net Metrics)']]*SUBTOTAL(9,OFFSET(DataT[Measured Impressions],ROW(DataT[Measured Impressions])-MIN(ROW(DataT[Measured Impressions])),0,1))))
/
SUM(
IF((DataT[Viewability 
'[Total Viewable Rate (Total Net Metrics)']]&lt;&gt;"NULL"),
SUBTOTAL(9,OFFSET(DataT[Measured Impressions],ROW(DataT[Measured Impressions])-MIN(ROW(DataT[Measured Impressions])),0,1))))</f>
        <v>0.55000000000000004</v>
      </c>
      <c r="V9" s="169">
        <f t="array" aca="1" ref="V9" ca="1">SUM(
IF((DataT[Display Viewability 
'[Total Viewable Rate (Total Net Metrics)']]&lt;&gt;"NULL"),
DataT[Display Viewability 
'[Total Viewable Rate (Total Net Metrics)']]*SUBTOTAL(9,OFFSET(DataT[Measured Impressions],ROW(DataT[Measured Impressions])-MIN(ROW(DataT[Measured Impressions])),0,1))))
/
SUM(
IF((DataT[Display Viewability 
'[Total Viewable Rate (Total Net Metrics)']]&lt;&gt;"NULL"),
SUBTOTAL(9,OFFSET(DataT[Measured Impressions],ROW(DataT[Measured Impressions])-MIN(ROW(DataT[Measured Impressions])),0,1))))</f>
        <v>0.6</v>
      </c>
      <c r="W9" s="170">
        <f t="array" aca="1" ref="W9" ca="1">SUM(
IF((DataT[Video Viewability 
'[Total Viewable Rate (Total Net Metrics)']]&lt;&gt;"NULL"),
DataT[Video Viewability 
'[Total Viewable Rate (Total Net Metrics)']]*SUBTOTAL(9,OFFSET(DataT[Measured Impressions],ROW(DataT[Measured Impressions])-MIN(ROW(DataT[Measured Impressions])),0,1))))
/
SUM(
IF((DataT[Video Viewability 
'[Total Viewable Rate (Total Net Metrics)']]&lt;&gt;"NULL"),
SUBTOTAL(9,OFFSET(DataT[Measured Impressions],ROW(DataT[Measured Impressions])-MIN(ROW(DataT[Measured Impressions])),0,1))))</f>
        <v>0.5</v>
      </c>
      <c r="X9" s="169">
        <f t="array" aca="1" ref="X9" ca="1">SUM(
IF((DataT[GroupM Viewability 
'[% Display Ads Fully in View']]&lt;&gt;"NULL"),
DataT[GroupM Viewability 
'[% Display Ads Fully in View']]*SUBTOTAL(9,OFFSET(DataT[Measured Impressions],ROW(DataT[Measured Impressions])-MIN(ROW(DataT[Measured Impressions])),0,1))))
/
SUM(
IF((DataT[GroupM Viewability 
'[% Display Ads Fully in View']]&lt;&gt;"NULL"),
SUBTOTAL(9,OFFSET(DataT[Measured Impressions],ROW(DataT[Measured Impressions])-MIN(ROW(DataT[Measured Impressions])),0,1))))</f>
        <v>0.35</v>
      </c>
      <c r="Y9" s="170">
        <f t="array" aca="1" ref="Y9" ca="1">SUM(
IF((DataT[GroupM Viewability 
'[% Videos Fully in View']]&lt;&gt;"NULL"),
DataT[GroupM Viewability 
'[% Videos Fully in View']]*SUBTOTAL(9,OFFSET(DataT[Measured Impressions],ROW(DataT[Measured Impressions])-MIN(ROW(DataT[Measured Impressions])),0,1))))
/
SUM(
IF((DataT[GroupM Viewability 
'[% Videos Fully in View']]&lt;&gt;"NULL"),
SUBTOTAL(9,OFFSET(DataT[Measured Impressions],ROW(DataT[Measured Impressions])-MIN(ROW(DataT[Measured Impressions])),0,1))))</f>
        <v>0.25</v>
      </c>
      <c r="Z9" s="169">
        <f t="array" aca="1" ref="Z9" ca="1">SUM(
IF((DataT[Publicis Viewability 
'[% Display Ads Fully in View']]&lt;&gt;"NULL"),
DataT[Publicis Viewability 
'[% Display Ads Fully in View']]*SUBTOTAL(9,OFFSET(DataT[Measured Impressions],ROW(DataT[Measured Impressions])-MIN(ROW(DataT[Measured Impressions])),0,1))))
/
SUM(
IF((DataT[Publicis Viewability 
'[% Display Ads Fully in View']]&lt;&gt;"NULL"),
SUBTOTAL(9,OFFSET(DataT[Measured Impressions],ROW(DataT[Measured Impressions])-MIN(ROW(DataT[Measured Impressions])),0,1))))</f>
        <v>0.35</v>
      </c>
      <c r="AA9" s="169">
        <f t="array" aca="1" ref="AA9" ca="1">SUM(
IF((DataT[Publicis Viewability 
'[% Videos Fully in View']]&lt;&gt;"NULL"),
DataT[Publicis Viewability 
'[% Videos Fully in View']]*SUBTOTAL(9,OFFSET(DataT[Measured Impressions],ROW(DataT[Measured Impressions])-MIN(ROW(DataT[Measured Impressions])),0,1))))
/
SUM(
IF((DataT[Publicis Viewability 
'[% Videos Fully in View']]&lt;&gt;"NULL"),
SUBTOTAL(9,OFFSET(DataT[Measured Impressions],ROW(DataT[Measured Impressions])-MIN(ROW(DataT[Measured Impressions])),0,1))))</f>
        <v>0.25</v>
      </c>
      <c r="AB9" s="149"/>
    </row>
    <row r="10" spans="1:122" s="138" customFormat="1" ht="15.75" hidden="1" customHeight="1" x14ac:dyDescent="0.35">
      <c r="A10" s="150"/>
      <c r="B10" s="151"/>
      <c r="C10" s="151"/>
      <c r="D10" s="152"/>
      <c r="E10" s="144"/>
      <c r="F10" s="145"/>
      <c r="G10" s="171" t="s">
        <v>14</v>
      </c>
      <c r="H10" s="171"/>
      <c r="I10" s="150"/>
      <c r="J10" s="172" t="s">
        <v>126</v>
      </c>
      <c r="K10" s="173" t="e">
        <f t="array" aca="1" ref="K10" ca="1">SUM(
IF(DataT[Measured Rate 
'[% Measured']]&lt;&gt;"NULL",
IF(DataT[Device Type]=ColumnT[[#This Row],[Metric]],
DataT[Measured Rate 
'[% Measured']]*
SUBTOTAL(9,OFFSET(DataT[Total Impressions],ROW(DataT[Total Impressions])-MIN(ROW(DataT[Total Impressions])),0,1)))))
/
SUM(
IF(DataT[Measured Rate 
'[% Measured']]&lt;&gt;"NULL",
IF(DataT[Device Type]=ColumnT[[#This Row],[Metric]],
SUBTOTAL(9,OFFSET(DataT[Total Impressions],ROW(DataT[Total Impressions])-MIN(ROW(DataT[Total Impressions])),0,1)))))</f>
        <v>#DIV/0!</v>
      </c>
      <c r="L10" s="174" t="e">
        <f t="array" aca="1" ref="L10" ca="1">SUM(
IF(DataT[See-Through Rate 
'[% Visible']]&lt;&gt;"NULL",
IF(DataT[Device Type]=ColumnT[[#This Row],[Metric]],
DataT[See-Through Rate 
'[% Visible']]*
SUBTOTAL(9,OFFSET(DataT[Total Impressions],ROW(DataT[Total Impressions])-MIN(ROW(DataT[Total Impressions])),0,1)))))
/
SUM(
IF(DataT[See-Through Rate 
'[% Visible']]&lt;&gt;"NULL",
IF(DataT[Device Type]=ColumnT[[#This Row],[Metric]],
SUBTOTAL(9,OFFSET(DataT[Total Impressions],ROW(DataT[Total Impressions])-MIN(ROW(DataT[Total Impressions])),0,1)))))</f>
        <v>#DIV/0!</v>
      </c>
      <c r="M10" s="174" t="e">
        <f t="array" aca="1" ref="M10" ca="1">SUM(
IF(DataT[Brand Safety 
'[% Passed']]&lt;&gt;"NULL",
IF(DataT[Device Type]=ColumnT[[#This Row],[Metric]],
DataT[Brand Safety 
'[% Passed']]*
SUBTOTAL(9,OFFSET(DataT[Total Impressions],ROW(DataT[Total Impressions])-MIN(ROW(DataT[Total Impressions])),0,1)))))
/
SUM(
IF(DataT[Brand Safety 
'[% Passed']]&lt;&gt;"NULL",
IF(DataT[Device Type]=ColumnT[[#This Row],[Metric]],
SUBTOTAL(9,OFFSET(DataT[Total Impressions],ROW(DataT[Total Impressions])-MIN(ROW(DataT[Total Impressions])),0,1)))))</f>
        <v>#DIV/0!</v>
      </c>
      <c r="N10" s="174" t="e">
        <f t="array" aca="1" ref="N10" ca="1">SUM(
IF(DataT[Brand Safety 
'[% Failed']]&lt;&gt;"NULL",
IF(DataT[Device Type]=ColumnT[[#This Row],[Metric]],
DataT[Brand Safety 
'[% Failed']]*
SUBTOTAL(9,OFFSET(DataT[Total Impressions],ROW(DataT[Total Impressions])-MIN(ROW(DataT[Total Impressions])),0,1)))))
/
SUM(
IF(DataT[Brand Safety 
'[% Failed']]&lt;&gt;"NULL",
IF(DataT[Device Type]=ColumnT[[#This Row],[Metric]],
SUBTOTAL(9,OFFSET(DataT[Total Impressions],ROW(DataT[Total Impressions])-MIN(ROW(DataT[Total Impressions])),0,1)))))</f>
        <v>#DIV/0!</v>
      </c>
      <c r="O10" s="174" t="e">
        <f t="array" aca="1" ref="O10" ca="1">SUM(
IF(DataT[Brand Safety 
'[% Failed by Content']]&lt;&gt;"NULL",
IF(DataT[Device Type]=ColumnT[[#This Row],[Metric]],
DataT[Brand Safety 
'[% Failed by Content']]*
SUBTOTAL(9,OFFSET(DataT[Total Impressions],ROW(DataT[Total Impressions])-MIN(ROW(DataT[Total Impressions])),0,1)))))
/
SUM(
IF(DataT[Brand Safety 
'[% Failed by Content']]&lt;&gt;"NULL",
IF(DataT[Device Type]=ColumnT[[#This Row],[Metric]],
SUBTOTAL(9,OFFSET(DataT[Total Impressions],ROW(DataT[Total Impressions])-MIN(ROW(DataT[Total Impressions])),0,1)))))</f>
        <v>#DIV/0!</v>
      </c>
      <c r="P10" s="174" t="e">
        <f t="array" aca="1" ref="P10" ca="1">SUM(
IF(DataT[Brand Safety 
'[% Failed by Geo']]&lt;&gt;"NULL",
IF(DataT[Device Type]=ColumnT[[#This Row],[Metric]],
DataT[Brand Safety 
'[% Failed by Geo']]*
SUBTOTAL(9,OFFSET(DataT[Total Impressions],ROW(DataT[Total Impressions])-MIN(ROW(DataT[Total Impressions])),0,1)))))
/
SUM(
IF(DataT[Brand Safety 
'[% Failed by Geo']]&lt;&gt;"NULL",
IF(DataT[Device Type]=ColumnT[[#This Row],[Metric]],
SUBTOTAL(9,OFFSET(DataT[Total Impressions],ROW(DataT[Total Impressions])-MIN(ROW(DataT[Total Impressions])),0,1)))))</f>
        <v>#DIV/0!</v>
      </c>
      <c r="Q10" s="174" t="e">
        <f t="array" aca="1" ref="Q10" ca="1">SUM(
IF(DataT[Brand Safety 
'[% Failed by Keyword']]&lt;&gt;"NULL",
IF(DataT[Device Type]=ColumnT[[#This Row],[Metric]],
DataT[Brand Safety 
'[% Failed by Keyword']]*
SUBTOTAL(9,OFFSET(DataT[Total Impressions],ROW(DataT[Total Impressions])-MIN(ROW(DataT[Total Impressions])),0,1)))))
/
SUM(
IF(DataT[Brand Safety 
'[% Failed by Keyword']]&lt;&gt;"NULL",
IF(DataT[Device Type]=ColumnT[[#This Row],[Metric]],
SUBTOTAL(9,OFFSET(DataT[Total Impressions],ROW(DataT[Total Impressions])-MIN(ROW(DataT[Total Impressions])),0,1)))))</f>
        <v>#DIV/0!</v>
      </c>
      <c r="R10" s="174" t="e">
        <f t="array" aca="1" ref="R10" ca="1">SUM(
IF(DataT[Brand Safety 
'[% Failed by Blacklist']]&lt;&gt;"NULL",
IF(DataT[Device Type]=ColumnT[[#This Row],[Metric]],
DataT[Brand Safety 
'[% Failed by Blacklist']]*
SUBTOTAL(9,OFFSET(DataT[Total Impressions],ROW(DataT[Total Impressions])-MIN(ROW(DataT[Total Impressions])),0,1)))))
/
SUM(
IF(DataT[Brand Safety 
'[% Failed by Blacklist']]&lt;&gt;"NULL",
IF(DataT[Device Type]=ColumnT[[#This Row],[Metric]],
SUBTOTAL(9,OFFSET(DataT[Total Impressions],ROW(DataT[Total Impressions])-MIN(ROW(DataT[Total Impressions])),0,1)))))</f>
        <v>#DIV/0!</v>
      </c>
      <c r="S10" s="174" t="e">
        <f t="array" aca="1" ref="S10" ca="1">SUM(
IF(DataT[Brand Safety 
'[% Failed by Language']]&lt;&gt;"NULL",
IF(DataT[Device Type]=ColumnT[[#This Row],[Metric]],
DataT[Brand Safety 
'[% Failed by Language']]*
SUBTOTAL(9,OFFSET(DataT[Total Impressions],ROW(DataT[Total Impressions])-MIN(ROW(DataT[Total Impressions])),0,1)))))
/
SUM(
IF(DataT[Brand Safety 
'[% Failed by Language']]&lt;&gt;"NULL",
IF(DataT[Device Type]=ColumnT[[#This Row],[Metric]],
SUBTOTAL(9,OFFSET(DataT[Total Impressions],ROW(DataT[Total Impressions])-MIN(ROW(DataT[Total Impressions])),0,1)))))</f>
        <v>#DIV/0!</v>
      </c>
      <c r="T10" s="174" t="e">
        <f t="array" aca="1" ref="T10" ca="1">SUM(
IF(DataT[Fraud 
'[% Fraud']]&lt;&gt;"NULL",
IF(DataT[Device Type]=ColumnT[[#This Row],[Metric]],
DataT[Fraud 
'[% Fraud']]*
SUBTOTAL(9,OFFSET(DataT[Total Impressions],ROW(DataT[Total Impressions])-MIN(ROW(DataT[Total Impressions])),0,1)))))
/
SUM(
IF(DataT[Fraud 
'[% Fraud']]&lt;&gt;"NULL",
IF(DataT[Device Type]=ColumnT[[#This Row],[Metric]],
SUBTOTAL(9,OFFSET(DataT[Total Impressions],ROW(DataT[Total Impressions])-MIN(ROW(DataT[Total Impressions])),0,1)))))</f>
        <v>#DIV/0!</v>
      </c>
      <c r="U10" s="174" t="e">
        <f t="array" aca="1" ref="U10" ca="1">SUM(
IF(DataT[Viewability 
'[Total Viewable Rate (Total Net Metrics)']]&lt;&gt;"NULL",
IF(DataT[Device Type]=ColumnT[[#This Row],[Metric]],
DataT[Viewability 
'[Total Viewable Rate (Total Net Metrics)']]*
SUBTOTAL(9,OFFSET(DataT[Total Impressions],ROW(DataT[Total Impressions])-MIN(ROW(DataT[Total Impressions])),0,1)))))
/
SUM(
IF(DataT[Viewability 
'[Total Viewable Rate (Total Net Metrics)']]&lt;&gt;"NULL",
IF(DataT[Device Type]=ColumnT[[#This Row],[Metric]],
SUBTOTAL(9,OFFSET(DataT[Total Impressions],ROW(DataT[Total Impressions])-MIN(ROW(DataT[Total Impressions])),0,1)))))</f>
        <v>#DIV/0!</v>
      </c>
      <c r="V10" s="174" t="e">
        <f t="array" aca="1" ref="V10" ca="1">SUM(
IF(DataT[Display Viewability 
'[Total Viewable Rate (Total Net Metrics)']]&lt;&gt;"NULL",
IF(DataT[Device Type]=ColumnT[[#This Row],[Metric]],
DataT[Display Viewability 
'[Total Viewable Rate (Total Net Metrics)']]*
SUBTOTAL(9,OFFSET(DataT[Total Impressions],ROW(DataT[Total Impressions])-MIN(ROW(DataT[Total Impressions])),0,1)))))
/
SUM(
IF(DataT[Display Viewability 
'[Total Viewable Rate (Total Net Metrics)']]&lt;&gt;"NULL",
IF(DataT[Device Type]=ColumnT[[#This Row],[Metric]],
SUBTOTAL(9,OFFSET(DataT[Total Impressions],ROW(DataT[Total Impressions])-MIN(ROW(DataT[Total Impressions])),0,1)))))</f>
        <v>#DIV/0!</v>
      </c>
      <c r="W10" s="174" t="e">
        <f t="array" aca="1" ref="W10" ca="1">SUM(
IF(DataT[Video Viewability 
'[Total Viewable Rate (Total Net Metrics)']]&lt;&gt;"NULL",
IF(DataT[Device Type]=ColumnT[[#This Row],[Metric]],
DataT[Video Viewability 
'[Total Viewable Rate (Total Net Metrics)']]*
SUBTOTAL(9,OFFSET(DataT[Total Impressions],ROW(DataT[Total Impressions])-MIN(ROW(DataT[Total Impressions])),0,1)))))
/
SUM(
IF(DataT[Video Viewability 
'[Total Viewable Rate (Total Net Metrics)']]&lt;&gt;"NULL",
IF(DataT[Device Type]=ColumnT[[#This Row],[Metric]],
SUBTOTAL(9,OFFSET(DataT[Total Impressions],ROW(DataT[Total Impressions])-MIN(ROW(DataT[Total Impressions])),0,1)))))</f>
        <v>#DIV/0!</v>
      </c>
      <c r="X10" s="174" t="e">
        <f t="array" aca="1" ref="X10" ca="1">SUM(
IF(DataT[GroupM Viewability 
'[% Display Ads Fully in View']]&lt;&gt;"NULL",
IF(DataT[Device Type]=ColumnT[[#This Row],[Metric]],
DataT[GroupM Viewability 
'[% Display Ads Fully in View']]*
SUBTOTAL(9,OFFSET(DataT[Total Impressions],ROW(DataT[Total Impressions])-MIN(ROW(DataT[Total Impressions])),0,1)))))
/
SUM(
IF(DataT[GroupM Viewability 
'[% Display Ads Fully in View']]&lt;&gt;"NULL",
IF(DataT[Device Type]=ColumnT[[#This Row],[Metric]],
SUBTOTAL(9,OFFSET(DataT[Total Impressions],ROW(DataT[Total Impressions])-MIN(ROW(DataT[Total Impressions])),0,1)))))</f>
        <v>#DIV/0!</v>
      </c>
      <c r="Y10" s="174" t="e">
        <f t="array" aca="1" ref="Y10" ca="1">SUM(
IF(DataT[GroupM Viewability 
'[% Videos Fully in View']]&lt;&gt;"NULL",
IF(DataT[Device Type]=ColumnT[[#This Row],[Metric]],
DataT[GroupM Viewability 
'[% Videos Fully in View']]*
SUBTOTAL(9,OFFSET(DataT[Total Impressions],ROW(DataT[Total Impressions])-MIN(ROW(DataT[Total Impressions])),0,1)))))
/
SUM(
IF(DataT[GroupM Viewability 
'[% Videos Fully in View']]&lt;&gt;"NULL",
IF(DataT[Device Type]=ColumnT[[#This Row],[Metric]],
SUBTOTAL(9,OFFSET(DataT[Total Impressions],ROW(DataT[Total Impressions])-MIN(ROW(DataT[Total Impressions])),0,1)))))</f>
        <v>#DIV/0!</v>
      </c>
      <c r="Z10" s="174" t="e">
        <f t="array" aca="1" ref="Z10" ca="1">SUM(
IF(DataT[Publicis Viewability 
'[% Display Ads Fully in View']]&lt;&gt;"NULL",
IF(DataT[Device Type]=ColumnT[[#This Row],[Metric]],
DataT[Publicis Viewability 
'[% Display Ads Fully in View']]*
SUBTOTAL(9,OFFSET(DataT[Total Impressions],ROW(DataT[Total Impressions])-MIN(ROW(DataT[Total Impressions])),0,1)))))
/
SUM(
IF(DataT[Publicis Viewability 
'[% Display Ads Fully in View']]&lt;&gt;"NULL",
IF(DataT[Device Type]=ColumnT[[#This Row],[Metric]],
SUBTOTAL(9,OFFSET(DataT[Total Impressions],ROW(DataT[Total Impressions])-MIN(ROW(DataT[Total Impressions])),0,1)))))</f>
        <v>#DIV/0!</v>
      </c>
      <c r="AA10" s="174" t="e">
        <f t="array" aca="1" ref="AA10" ca="1">SUM(
IF(DataT[Publicis Viewability 
'[% Videos Fully in View']]&lt;&gt;"NULL",
IF(DataT[Device Type]=ColumnT[[#This Row],[Metric]],
DataT[Publicis Viewability 
'[% Videos Fully in View']]*
SUBTOTAL(9,OFFSET(DataT[Total Impressions],ROW(DataT[Total Impressions])-MIN(ROW(DataT[Total Impressions])),0,1)))))
/
SUM(
IF(DataT[Publicis Viewability 
'[% Videos Fully in View']]&lt;&gt;"NULL",
IF(DataT[Device Type]=ColumnT[[#This Row],[Metric]],
SUBTOTAL(9,OFFSET(DataT[Total Impressions],ROW(DataT[Total Impressions])-MIN(ROW(DataT[Total Impressions])),0,1)))))</f>
        <v>#DIV/0!</v>
      </c>
      <c r="AB10" s="149"/>
    </row>
    <row r="11" spans="1:122" s="138" customFormat="1" ht="16" hidden="1" customHeight="1" x14ac:dyDescent="0.35">
      <c r="A11" s="175"/>
      <c r="B11" s="176"/>
      <c r="C11" s="176"/>
      <c r="D11" s="177"/>
      <c r="E11" s="144"/>
      <c r="F11" s="145"/>
      <c r="G11" s="171" t="s">
        <v>14</v>
      </c>
      <c r="H11" s="171"/>
      <c r="I11" s="150"/>
      <c r="J11" s="172" t="s">
        <v>140</v>
      </c>
      <c r="K11" s="173" t="e">
        <f t="array" aca="1" ref="K11" ca="1">SUM(
IF(DataT[Measured Rate 
'[% Measured']]&lt;&gt;"NULL",
IF(DataT[Region (Team)]=ColumnT[[#This Row],[Metric]],
DataT[Measured Rate 
'[% Measured']]*
SUBTOTAL(9,OFFSET(DataT[Total Impressions],ROW(DataT[Total Impressions])-MIN(ROW(DataT[Total Impressions])),0,1)))))
/
SUM(
IF(DataT[Measured Rate 
'[% Measured']]&lt;&gt;"NULL",
IF(DataT[Region (Team)]=ColumnT[[#This Row],[Metric]],
SUBTOTAL(9,OFFSET(DataT[Total Impressions],ROW(DataT[Total Impressions])-MIN(ROW(DataT[Total Impressions])),0,1)))))</f>
        <v>#DIV/0!</v>
      </c>
      <c r="L11" s="174" t="e">
        <f t="array" aca="1" ref="L11" ca="1">SUM(
IF(DataT[See-Through Rate 
'[% Visible']]&lt;&gt;"NULL",
IF(DataT[Region (Team)]=ColumnT[[#This Row],[Metric]],
DataT[See-Through Rate 
'[% Visible']]*
SUBTOTAL(9,OFFSET(DataT[Total Impressions],ROW(DataT[Total Impressions])-MIN(ROW(DataT[Total Impressions])),0,1)))))
/
SUM(
IF(DataT[See-Through Rate 
'[% Visible']]&lt;&gt;"NULL",
IF(DataT[Region (Team)]=ColumnT[[#This Row],[Metric]],
SUBTOTAL(9,OFFSET(DataT[Total Impressions],ROW(DataT[Total Impressions])-MIN(ROW(DataT[Total Impressions])),0,1)))))</f>
        <v>#DIV/0!</v>
      </c>
      <c r="M11" s="174" t="e">
        <f t="array" aca="1" ref="M11" ca="1">SUM(
IF(DataT[Brand Safety 
'[% Passed']]&lt;&gt;"NULL",
IF(DataT[Region (Team)]=ColumnT[[#This Row],[Metric]],
DataT[Brand Safety 
'[% Passed']]*
SUBTOTAL(9,OFFSET(DataT[Total Impressions],ROW(DataT[Total Impressions])-MIN(ROW(DataT[Total Impressions])),0,1)))))
/
SUM(
IF(DataT[Brand Safety 
'[% Passed']]&lt;&gt;"NULL",
IF(DataT[Region (Team)]=ColumnT[[#This Row],[Metric]],
SUBTOTAL(9,OFFSET(DataT[Total Impressions],ROW(DataT[Total Impressions])-MIN(ROW(DataT[Total Impressions])),0,1)))))</f>
        <v>#DIV/0!</v>
      </c>
      <c r="N11" s="174" t="e">
        <f t="array" aca="1" ref="N11" ca="1">SUM(
IF(DataT[Brand Safety 
'[% Failed']]&lt;&gt;"NULL",
IF(DataT[Region (Team)]=ColumnT[[#This Row],[Metric]],
DataT[Brand Safety 
'[% Failed']]*
SUBTOTAL(9,OFFSET(DataT[Total Impressions],ROW(DataT[Total Impressions])-MIN(ROW(DataT[Total Impressions])),0,1)))))
/
SUM(
IF(DataT[Brand Safety 
'[% Failed']]&lt;&gt;"NULL",
IF(DataT[Region (Team)]=ColumnT[[#This Row],[Metric]],
SUBTOTAL(9,OFFSET(DataT[Total Impressions],ROW(DataT[Total Impressions])-MIN(ROW(DataT[Total Impressions])),0,1)))))</f>
        <v>#DIV/0!</v>
      </c>
      <c r="O11" s="174" t="e">
        <f t="array" aca="1" ref="O11" ca="1">SUM(
IF(DataT[Brand Safety 
'[% Failed by Content']]&lt;&gt;"NULL",
IF(DataT[Region (Team)]=ColumnT[[#This Row],[Metric]],
DataT[Brand Safety 
'[% Failed by Content']]*
SUBTOTAL(9,OFFSET(DataT[Total Impressions],ROW(DataT[Total Impressions])-MIN(ROW(DataT[Total Impressions])),0,1)))))
/
SUM(
IF(DataT[Brand Safety 
'[% Failed by Content']]&lt;&gt;"NULL",
IF(DataT[Region (Team)]=ColumnT[[#This Row],[Metric]],
SUBTOTAL(9,OFFSET(DataT[Total Impressions],ROW(DataT[Total Impressions])-MIN(ROW(DataT[Total Impressions])),0,1)))))</f>
        <v>#DIV/0!</v>
      </c>
      <c r="P11" s="174" t="e">
        <f t="array" aca="1" ref="P11" ca="1">SUM(
IF(DataT[Brand Safety 
'[% Failed by Geo']]&lt;&gt;"NULL",
IF(DataT[Region (Team)]=ColumnT[[#This Row],[Metric]],
DataT[Brand Safety 
'[% Failed by Geo']]*
SUBTOTAL(9,OFFSET(DataT[Total Impressions],ROW(DataT[Total Impressions])-MIN(ROW(DataT[Total Impressions])),0,1)))))
/
SUM(
IF(DataT[Brand Safety 
'[% Failed by Geo']]&lt;&gt;"NULL",
IF(DataT[Region (Team)]=ColumnT[[#This Row],[Metric]],
SUBTOTAL(9,OFFSET(DataT[Total Impressions],ROW(DataT[Total Impressions])-MIN(ROW(DataT[Total Impressions])),0,1)))))</f>
        <v>#DIV/0!</v>
      </c>
      <c r="Q11" s="174" t="e">
        <f t="array" aca="1" ref="Q11" ca="1">SUM(
IF(DataT[Brand Safety 
'[% Failed by Keyword']]&lt;&gt;"NULL",
IF(DataT[Region (Team)]=ColumnT[[#This Row],[Metric]],
DataT[Brand Safety 
'[% Failed by Keyword']]*
SUBTOTAL(9,OFFSET(DataT[Total Impressions],ROW(DataT[Total Impressions])-MIN(ROW(DataT[Total Impressions])),0,1)))))
/
SUM(
IF(DataT[Brand Safety 
'[% Failed by Keyword']]&lt;&gt;"NULL",
IF(DataT[Region (Team)]=ColumnT[[#This Row],[Metric]],
SUBTOTAL(9,OFFSET(DataT[Total Impressions],ROW(DataT[Total Impressions])-MIN(ROW(DataT[Total Impressions])),0,1)))))</f>
        <v>#DIV/0!</v>
      </c>
      <c r="R11" s="174" t="e">
        <f t="array" aca="1" ref="R11" ca="1">SUM(
IF(DataT[Brand Safety 
'[% Failed by Blacklist']]&lt;&gt;"NULL",
IF(DataT[Region (Team)]=ColumnT[[#This Row],[Metric]],
DataT[Brand Safety 
'[% Failed by Blacklist']]*
SUBTOTAL(9,OFFSET(DataT[Total Impressions],ROW(DataT[Total Impressions])-MIN(ROW(DataT[Total Impressions])),0,1)))))
/
SUM(
IF(DataT[Brand Safety 
'[% Failed by Blacklist']]&lt;&gt;"NULL",
IF(DataT[Region (Team)]=ColumnT[[#This Row],[Metric]],
SUBTOTAL(9,OFFSET(DataT[Total Impressions],ROW(DataT[Total Impressions])-MIN(ROW(DataT[Total Impressions])),0,1)))))</f>
        <v>#DIV/0!</v>
      </c>
      <c r="S11" s="174" t="e">
        <f t="array" aca="1" ref="S11" ca="1">SUM(
IF(DataT[Brand Safety 
'[% Failed by Language']]&lt;&gt;"NULL",
IF(DataT[Region (Team)]=ColumnT[[#This Row],[Metric]],
DataT[Brand Safety 
'[% Failed by Language']]*
SUBTOTAL(9,OFFSET(DataT[Total Impressions],ROW(DataT[Total Impressions])-MIN(ROW(DataT[Total Impressions])),0,1)))))
/
SUM(
IF(DataT[Brand Safety 
'[% Failed by Language']]&lt;&gt;"NULL",
IF(DataT[Region (Team)]=ColumnT[[#This Row],[Metric]],
SUBTOTAL(9,OFFSET(DataT[Total Impressions],ROW(DataT[Total Impressions])-MIN(ROW(DataT[Total Impressions])),0,1)))))</f>
        <v>#DIV/0!</v>
      </c>
      <c r="T11" s="174" t="e">
        <f t="array" aca="1" ref="T11" ca="1">SUM(
IF(DataT[Fraud 
'[% Fraud']]&lt;&gt;"NULL",
IF(DataT[Region (Team)]=ColumnT[[#This Row],[Metric]],
DataT[Fraud 
'[% Fraud']]*
SUBTOTAL(9,OFFSET(DataT[Total Impressions],ROW(DataT[Total Impressions])-MIN(ROW(DataT[Total Impressions])),0,1)))))
/
SUM(
IF(DataT[Fraud 
'[% Fraud']]&lt;&gt;"NULL",
IF(DataT[Region (Team)]=ColumnT[[#This Row],[Metric]],
SUBTOTAL(9,OFFSET(DataT[Total Impressions],ROW(DataT[Total Impressions])-MIN(ROW(DataT[Total Impressions])),0,1)))))</f>
        <v>#DIV/0!</v>
      </c>
      <c r="U11" s="174" t="e">
        <f t="array" aca="1" ref="U11" ca="1">SUM(
IF(DataT[Viewability 
'[Total Viewable Rate (Total Net Metrics)']]&lt;&gt;"NULL",
IF(DataT[Region (Team)]=ColumnT[[#This Row],[Metric]],
DataT[Viewability 
'[Total Viewable Rate (Total Net Metrics)']]*
SUBTOTAL(9,OFFSET(DataT[Total Impressions],ROW(DataT[Total Impressions])-MIN(ROW(DataT[Total Impressions])),0,1)))))
/
SUM(
IF(DataT[Viewability 
'[Total Viewable Rate (Total Net Metrics)']]&lt;&gt;"NULL",
IF(DataT[Region (Team)]=ColumnT[[#This Row],[Metric]],
SUBTOTAL(9,OFFSET(DataT[Total Impressions],ROW(DataT[Total Impressions])-MIN(ROW(DataT[Total Impressions])),0,1)))))</f>
        <v>#DIV/0!</v>
      </c>
      <c r="V11" s="174" t="e">
        <f t="array" aca="1" ref="V11" ca="1">SUM(
IF(DataT[Display Viewability 
'[Total Viewable Rate (Total Net Metrics)']]&lt;&gt;"NULL",
IF(DataT[Region (Team)]=ColumnT[[#This Row],[Metric]],
DataT[Display Viewability 
'[Total Viewable Rate (Total Net Metrics)']]*
SUBTOTAL(9,OFFSET(DataT[Total Impressions],ROW(DataT[Total Impressions])-MIN(ROW(DataT[Total Impressions])),0,1)))))
/
SUM(
IF(DataT[Display Viewability 
'[Total Viewable Rate (Total Net Metrics)']]&lt;&gt;"NULL",
IF(DataT[Region (Team)]=ColumnT[[#This Row],[Metric]],
SUBTOTAL(9,OFFSET(DataT[Total Impressions],ROW(DataT[Total Impressions])-MIN(ROW(DataT[Total Impressions])),0,1)))))</f>
        <v>#DIV/0!</v>
      </c>
      <c r="W11" s="174" t="e">
        <f t="array" aca="1" ref="W11" ca="1">SUM(
IF(DataT[Video Viewability 
'[Total Viewable Rate (Total Net Metrics)']]&lt;&gt;"NULL",
IF(DataT[Region (Team)]=ColumnT[[#This Row],[Metric]],
DataT[Video Viewability 
'[Total Viewable Rate (Total Net Metrics)']]*
SUBTOTAL(9,OFFSET(DataT[Total Impressions],ROW(DataT[Total Impressions])-MIN(ROW(DataT[Total Impressions])),0,1)))))
/
SUM(
IF(DataT[Video Viewability 
'[Total Viewable Rate (Total Net Metrics)']]&lt;&gt;"NULL",
IF(DataT[Region (Team)]=ColumnT[[#This Row],[Metric]],
SUBTOTAL(9,OFFSET(DataT[Total Impressions],ROW(DataT[Total Impressions])-MIN(ROW(DataT[Total Impressions])),0,1)))))</f>
        <v>#DIV/0!</v>
      </c>
      <c r="X11" s="174" t="e">
        <f t="array" aca="1" ref="X11" ca="1">SUM(
IF(DataT[GroupM Viewability 
'[% Display Ads Fully in View']]&lt;&gt;"NULL",
IF(DataT[Region (Team)]=ColumnT[[#This Row],[Metric]],
DataT[GroupM Viewability 
'[% Display Ads Fully in View']]*
SUBTOTAL(9,OFFSET(DataT[Total Impressions],ROW(DataT[Total Impressions])-MIN(ROW(DataT[Total Impressions])),0,1)))))
/
SUM(
IF(DataT[GroupM Viewability 
'[% Display Ads Fully in View']]&lt;&gt;"NULL",
IF(DataT[Region (Team)]=ColumnT[[#This Row],[Metric]],
SUBTOTAL(9,OFFSET(DataT[Total Impressions],ROW(DataT[Total Impressions])-MIN(ROW(DataT[Total Impressions])),0,1)))))</f>
        <v>#DIV/0!</v>
      </c>
      <c r="Y11" s="174" t="e">
        <f t="array" aca="1" ref="Y11" ca="1">SUM(
IF(DataT[GroupM Viewability 
'[% Videos Fully in View']]&lt;&gt;"NULL",
IF(DataT[Region (Team)]=ColumnT[[#This Row],[Metric]],
DataT[GroupM Viewability 
'[% Videos Fully in View']]*
SUBTOTAL(9,OFFSET(DataT[Total Impressions],ROW(DataT[Total Impressions])-MIN(ROW(DataT[Total Impressions])),0,1)))))
/
SUM(
IF(DataT[GroupM Viewability 
'[% Videos Fully in View']]&lt;&gt;"NULL",
IF(DataT[Region (Team)]=ColumnT[[#This Row],[Metric]],
SUBTOTAL(9,OFFSET(DataT[Total Impressions],ROW(DataT[Total Impressions])-MIN(ROW(DataT[Total Impressions])),0,1)))))</f>
        <v>#DIV/0!</v>
      </c>
      <c r="Z11" s="174" t="e">
        <f t="array" aca="1" ref="Z11" ca="1">SUM(
IF(DataT[Publicis Viewability 
'[% Display Ads Fully in View']]&lt;&gt;"NULL",
IF(DataT[Region (Team)]=ColumnT[[#This Row],[Metric]],
DataT[Publicis Viewability 
'[% Display Ads Fully in View']]*
SUBTOTAL(9,OFFSET(DataT[Total Impressions],ROW(DataT[Total Impressions])-MIN(ROW(DataT[Total Impressions])),0,1)))))
/
SUM(
IF(DataT[Publicis Viewability 
'[% Display Ads Fully in View']]&lt;&gt;"NULL",
IF(DataT[Region (Team)]=ColumnT[[#This Row],[Metric]],
SUBTOTAL(9,OFFSET(DataT[Total Impressions],ROW(DataT[Total Impressions])-MIN(ROW(DataT[Total Impressions])),0,1)))))</f>
        <v>#DIV/0!</v>
      </c>
      <c r="AA11" s="174" t="e">
        <f t="array" aca="1" ref="AA11" ca="1">SUM(
IF(DataT[Publicis Viewability 
'[% Videos Fully in View']]&lt;&gt;"NULL",
IF(DataT[Region (Team)]=ColumnT[[#This Row],[Metric]],
DataT[Publicis Viewability 
'[% Videos Fully in View']]*
SUBTOTAL(9,OFFSET(DataT[Total Impressions],ROW(DataT[Total Impressions])-MIN(ROW(DataT[Total Impressions])),0,1)))))
/
SUM(
IF(DataT[Publicis Viewability 
'[% Videos Fully in View']]&lt;&gt;"NULL",
IF(DataT[Region (Team)]=ColumnT[[#This Row],[Metric]],
SUBTOTAL(9,OFFSET(DataT[Total Impressions],ROW(DataT[Total Impressions])-MIN(ROW(DataT[Total Impressions])),0,1)))))</f>
        <v>#DIV/0!</v>
      </c>
      <c r="AB11" s="149"/>
    </row>
    <row r="12" spans="1:122" s="138" customFormat="1" ht="16.5" hidden="1" customHeight="1" x14ac:dyDescent="0.35">
      <c r="A12" s="150"/>
      <c r="B12" s="151"/>
      <c r="C12" s="151"/>
      <c r="D12" s="152"/>
      <c r="E12" s="144"/>
      <c r="F12" s="145"/>
      <c r="G12" s="208" t="s">
        <v>8</v>
      </c>
      <c r="H12" s="208"/>
      <c r="I12" s="150"/>
      <c r="J12" s="178" t="s">
        <v>7</v>
      </c>
      <c r="K12" s="179"/>
      <c r="L12" s="179"/>
      <c r="M12" s="180"/>
      <c r="N12" s="179"/>
      <c r="O12" s="179"/>
      <c r="P12" s="179"/>
      <c r="Q12" s="179"/>
      <c r="R12" s="179"/>
      <c r="S12" s="179"/>
      <c r="T12" s="179"/>
      <c r="U12" s="179"/>
      <c r="V12" s="179"/>
      <c r="W12" s="174"/>
      <c r="X12" s="179"/>
      <c r="Y12" s="179"/>
      <c r="Z12" s="179"/>
      <c r="AA12" s="179"/>
      <c r="AB12" s="149"/>
    </row>
    <row r="13" spans="1:122" s="138" customFormat="1" ht="15.75" hidden="1" customHeight="1" x14ac:dyDescent="0.35">
      <c r="A13" s="143"/>
      <c r="B13" s="181"/>
      <c r="C13" s="181"/>
      <c r="D13" s="182"/>
      <c r="E13" s="183"/>
      <c r="F13" s="145"/>
      <c r="G13" s="208" t="s">
        <v>8</v>
      </c>
      <c r="H13" s="208"/>
      <c r="I13" s="150"/>
      <c r="J13" s="184" t="s">
        <v>6</v>
      </c>
      <c r="K13" s="185">
        <v>0</v>
      </c>
      <c r="L13" s="185">
        <v>0</v>
      </c>
      <c r="M13" s="185">
        <v>0</v>
      </c>
      <c r="N13" s="185">
        <v>0</v>
      </c>
      <c r="O13" s="185">
        <v>0</v>
      </c>
      <c r="P13" s="185">
        <v>0</v>
      </c>
      <c r="Q13" s="185">
        <v>1</v>
      </c>
      <c r="R13" s="185">
        <v>0</v>
      </c>
      <c r="S13" s="185">
        <v>0</v>
      </c>
      <c r="T13" s="185">
        <v>0</v>
      </c>
      <c r="U13" s="185">
        <v>0</v>
      </c>
      <c r="V13" s="185">
        <v>0</v>
      </c>
      <c r="W13" s="185">
        <v>0</v>
      </c>
      <c r="X13" s="185">
        <v>0</v>
      </c>
      <c r="Y13" s="185">
        <v>0</v>
      </c>
      <c r="Z13" s="185">
        <v>0</v>
      </c>
      <c r="AA13" s="185">
        <v>0</v>
      </c>
      <c r="AB13" s="149"/>
    </row>
    <row r="14" spans="1:122" s="138" customFormat="1" ht="15.75" customHeight="1" thickBot="1" x14ac:dyDescent="0.4">
      <c r="B14" s="143"/>
      <c r="C14" s="186"/>
      <c r="D14" s="143"/>
      <c r="E14" s="187"/>
      <c r="F14" s="133" t="s">
        <v>21</v>
      </c>
      <c r="G14" s="133" t="s">
        <v>21</v>
      </c>
      <c r="H14" s="186"/>
      <c r="I14" s="133" t="s">
        <v>21</v>
      </c>
      <c r="J14" s="188"/>
      <c r="K14" s="189"/>
      <c r="L14" s="189"/>
      <c r="M14" s="189"/>
      <c r="N14" s="189"/>
      <c r="O14" s="189"/>
      <c r="P14" s="188"/>
      <c r="Q14" s="188"/>
      <c r="R14" s="188"/>
      <c r="S14" s="188"/>
      <c r="T14" s="188"/>
      <c r="U14" s="188"/>
      <c r="V14" s="188"/>
      <c r="W14" s="188"/>
      <c r="X14" s="188"/>
      <c r="Y14" s="188"/>
      <c r="Z14" s="188"/>
      <c r="AA14" s="188"/>
      <c r="AB14" s="188"/>
      <c r="AC14" s="188"/>
      <c r="AD14" s="188"/>
      <c r="AE14" s="188"/>
      <c r="DQ14" s="149"/>
    </row>
    <row r="15" spans="1:122" s="141" customFormat="1" ht="42.75" customHeight="1" thickBot="1" x14ac:dyDescent="0.3">
      <c r="B15" s="190" t="s">
        <v>151</v>
      </c>
      <c r="C15" s="191" t="s">
        <v>20</v>
      </c>
      <c r="D15" s="192" t="s">
        <v>9</v>
      </c>
      <c r="E15" s="192" t="s">
        <v>141</v>
      </c>
      <c r="F15" s="192" t="s">
        <v>22</v>
      </c>
      <c r="G15" s="192" t="s">
        <v>38</v>
      </c>
      <c r="H15" s="148" t="s">
        <v>19</v>
      </c>
      <c r="I15" s="193" t="s">
        <v>11</v>
      </c>
      <c r="J15" s="194" t="s">
        <v>13</v>
      </c>
      <c r="K15" s="194" t="s">
        <v>4</v>
      </c>
      <c r="L15" s="194" t="s">
        <v>162</v>
      </c>
      <c r="M15" s="194" t="s">
        <v>23</v>
      </c>
      <c r="N15" s="194" t="s">
        <v>5</v>
      </c>
      <c r="O15" s="194" t="s">
        <v>24</v>
      </c>
      <c r="P15" s="194" t="s">
        <v>25</v>
      </c>
      <c r="Q15" s="194" t="s">
        <v>26</v>
      </c>
      <c r="R15" s="194" t="s">
        <v>27</v>
      </c>
      <c r="S15" s="194" t="s">
        <v>156</v>
      </c>
      <c r="T15" s="194" t="s">
        <v>28</v>
      </c>
      <c r="U15" s="194" t="s">
        <v>157</v>
      </c>
      <c r="V15" s="194" t="s">
        <v>158</v>
      </c>
      <c r="W15" s="194" t="s">
        <v>159</v>
      </c>
      <c r="X15" s="194" t="s">
        <v>160</v>
      </c>
      <c r="Y15" s="148" t="s">
        <v>161</v>
      </c>
      <c r="Z15" s="148" t="s">
        <v>163</v>
      </c>
      <c r="AA15" s="148" t="s">
        <v>164</v>
      </c>
    </row>
    <row r="16" spans="1:122" s="131" customFormat="1" ht="15" customHeight="1" thickBot="1" x14ac:dyDescent="0.3">
      <c r="B16" s="195" t="str">
        <f>IFERROR(
IF(DataT[[#Headers],[Region (Team)]]="Brand",VLOOKUP(DataT[[#This Row],[Campaign]],Map_Campaign[],2,0),
IF(DataT[[#Headers],[Region (Team)]]="Region (Team)",VLOOKUP(DataT[[#This Row],[Team]],Map_Team[],2,0),
IF(DataT[[#Headers],[Region (Team)]]="Region (Campaign)",VLOOKUP(DataT[[#This Row],[Campaign]],Map_Campaign[],3,0),
IF(DataT[[#Headers],[Region (Team)]]="Partner Type",VLOOKUP(DataT[[#This Row],[Partner]],Map_Partner[],2,0),
IF(DataT[[#Headers],[Region (Team)]]="Device Type",VLOOKUP(DataT[[#This Row],[Placement]],Map_Placement[],3,0),
IF(DataT[[#Headers],[Region (Team)]]="Creative Size",VLOOKUP(DataT[[#This Row],[Placement]],Map_Placement[],2,0),"Not a mapping option.")))))),
"[Unmapped]")</f>
        <v>USA</v>
      </c>
      <c r="C16" s="196" t="s">
        <v>35</v>
      </c>
      <c r="D16" s="197" t="s">
        <v>10</v>
      </c>
      <c r="E16" s="197" t="s">
        <v>10</v>
      </c>
      <c r="F16" s="197" t="s">
        <v>10</v>
      </c>
      <c r="G16" s="197" t="s">
        <v>10</v>
      </c>
      <c r="H16" s="197" t="s">
        <v>124</v>
      </c>
      <c r="I16" s="198">
        <v>292953764</v>
      </c>
      <c r="J16" s="199">
        <v>450881961</v>
      </c>
      <c r="K16" s="200">
        <v>0.7</v>
      </c>
      <c r="L16" s="200">
        <v>0.98</v>
      </c>
      <c r="M16" s="200">
        <v>0.95</v>
      </c>
      <c r="N16" s="200">
        <v>0.05</v>
      </c>
      <c r="O16" s="200">
        <v>0.02</v>
      </c>
      <c r="P16" s="200">
        <v>0.02</v>
      </c>
      <c r="Q16" s="200">
        <v>0.01</v>
      </c>
      <c r="R16" s="200">
        <v>0.01</v>
      </c>
      <c r="S16" s="200">
        <v>0.01</v>
      </c>
      <c r="T16" s="200">
        <v>0.03</v>
      </c>
      <c r="U16" s="200">
        <v>0.55000000000000004</v>
      </c>
      <c r="V16" s="200">
        <v>0.6</v>
      </c>
      <c r="W16" s="200">
        <v>0.5</v>
      </c>
      <c r="X16" s="200">
        <v>0.35</v>
      </c>
      <c r="Y16" s="200">
        <v>0.25</v>
      </c>
      <c r="Z16" s="200">
        <v>0.35</v>
      </c>
      <c r="AA16" s="200">
        <v>0.25</v>
      </c>
    </row>
    <row r="21" spans="7:8" ht="15" customHeight="1" x14ac:dyDescent="0.25">
      <c r="G21" s="201"/>
      <c r="H21" s="201"/>
    </row>
  </sheetData>
  <sheetProtection formatCells="0" insertColumns="0" insertRows="0" insertHyperlinks="0" deleteColumns="0" deleteRows="0" selectLockedCells="1" sort="0" autoFilter="0" pivotTables="0"/>
  <mergeCells count="8">
    <mergeCell ref="B9:D9"/>
    <mergeCell ref="G12:H12"/>
    <mergeCell ref="G13:H13"/>
    <mergeCell ref="G6:H6"/>
    <mergeCell ref="G7:H7"/>
    <mergeCell ref="G8:H8"/>
    <mergeCell ref="B6:D6"/>
    <mergeCell ref="B8:D8"/>
  </mergeCells>
  <conditionalFormatting sqref="K16:AA16">
    <cfRule type="cellIs" dxfId="550" priority="4" operator="equal">
      <formula>""</formula>
    </cfRule>
  </conditionalFormatting>
  <conditionalFormatting sqref="A9:G9 A1:XFD8 I9:XFD9 A10:XFD1048576">
    <cfRule type="expression" dxfId="549" priority="3">
      <formula>ISERROR(A1)</formula>
    </cfRule>
  </conditionalFormatting>
  <conditionalFormatting sqref="K9:AA11 K16:AA16">
    <cfRule type="expression" dxfId="548" priority="6">
      <formula>IF(K$7="N/A",0,IF(K$7="Above",K9&lt;=(1-$J$4)*K$8,K9&gt;=(1+$J$4)*K$8))</formula>
    </cfRule>
    <cfRule type="expression" dxfId="547" priority="7">
      <formula>IF(OR(K$7="N/A",K9=0),0,IF(K$7="Above",K9&gt;=(1+$J$3)*K$8,K9&lt;=(1-$J$3)*K$8))</formula>
    </cfRule>
  </conditionalFormatting>
  <conditionalFormatting sqref="H9">
    <cfRule type="expression" dxfId="546" priority="1">
      <formula>ISERROR(H9)</formula>
    </cfRule>
  </conditionalFormatting>
  <dataValidations disablePrompts="1" count="7">
    <dataValidation allowBlank="1" showInputMessage="1" showErrorMessage="1" errorTitle="Invalid Entry" error="Please select/enter a value from 1 to 5 from the dropdown." sqref="J11 K10:AA11 G9:G11 AB12:XFD13 J9 A13:E13 H9" xr:uid="{00000000-0002-0000-0000-000000000000}"/>
    <dataValidation type="list" allowBlank="1" showInputMessage="1" showErrorMessage="1" errorTitle="Invalid Entry" error="Please select/enter a value from 1 to 5 from the dropdown." sqref="J10" xr:uid="{00000000-0002-0000-00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000-000002000000}">
      <formula1>"0,1,2,3,4,5"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000-000004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000-000005000000}"/>
    <dataValidation allowBlank="1" showInputMessage="1" showErrorMessage="1" prompt="Cell will highlight red if performance deviates by more than this percentage of the client goal." sqref="J4" xr:uid="{00000000-0002-0000-0000-000006000000}"/>
    <dataValidation type="list" allowBlank="1" showInputMessage="1" showErrorMessage="1" sqref="Y27" xr:uid="{00000000-0002-0000-0000-000003000000}">
      <formula1>#REF!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7661568D-FBA6-44F1-9562-148F8342E9C4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Q42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D21" sqref="D21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4" width="60.7265625" style="50" customWidth="1"/>
    <col min="5" max="5" width="60.7265625" style="50" hidden="1" customWidth="1"/>
    <col min="6" max="6" width="16.26953125" style="50" hidden="1" customWidth="1"/>
    <col min="7" max="7" width="18.54296875" style="50" hidden="1" customWidth="1"/>
    <col min="8" max="8" width="21.7265625" style="50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1"/>
      <c r="E1" s="13" t="s">
        <v>21</v>
      </c>
      <c r="F1" s="13" t="s">
        <v>21</v>
      </c>
      <c r="G1" s="13" t="s">
        <v>21</v>
      </c>
      <c r="H1" s="11"/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1"/>
      <c r="E2" s="16"/>
      <c r="F2" s="16"/>
      <c r="G2" s="16"/>
      <c r="H2" s="11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1"/>
      <c r="E3" s="16"/>
      <c r="F3" s="16"/>
      <c r="G3" s="16"/>
      <c r="H3" s="11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1"/>
      <c r="E4" s="16"/>
      <c r="F4" s="16"/>
      <c r="G4" s="16"/>
      <c r="H4" s="11"/>
      <c r="I4" s="16"/>
      <c r="J4" s="77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1"/>
      <c r="E5" s="16"/>
      <c r="F5" s="16"/>
      <c r="G5" s="16"/>
      <c r="H5" s="11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B6" s="76" t="s">
        <v>155</v>
      </c>
      <c r="C6" s="76"/>
      <c r="D6" s="79" t="s">
        <v>155</v>
      </c>
      <c r="E6" s="81"/>
      <c r="F6" s="28"/>
      <c r="G6" s="219" t="s">
        <v>133</v>
      </c>
      <c r="H6" s="220"/>
      <c r="I6" s="89"/>
      <c r="J6" s="11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</row>
    <row r="7" spans="1:121" s="18" customFormat="1" ht="15" hidden="1" customHeight="1" thickBot="1" x14ac:dyDescent="0.4">
      <c r="A7" s="16"/>
      <c r="B7" s="28"/>
      <c r="C7" s="28"/>
      <c r="D7" s="28"/>
      <c r="E7" s="28"/>
      <c r="F7" s="28"/>
      <c r="G7" s="228" t="s">
        <v>132</v>
      </c>
      <c r="H7" s="229"/>
      <c r="I7" s="108"/>
      <c r="J7" s="125" t="s">
        <v>0</v>
      </c>
      <c r="K7" s="155" t="s">
        <v>2</v>
      </c>
      <c r="L7" s="155" t="s">
        <v>2</v>
      </c>
      <c r="M7" s="156" t="s">
        <v>2</v>
      </c>
      <c r="N7" s="156" t="s">
        <v>3</v>
      </c>
      <c r="O7" s="156" t="s">
        <v>3</v>
      </c>
      <c r="P7" s="156" t="s">
        <v>3</v>
      </c>
      <c r="Q7" s="29" t="s">
        <v>3</v>
      </c>
      <c r="R7" s="155" t="s">
        <v>3</v>
      </c>
      <c r="S7" s="155" t="s">
        <v>3</v>
      </c>
      <c r="T7" s="155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5" t="s">
        <v>2</v>
      </c>
      <c r="AA7" s="155" t="s">
        <v>2</v>
      </c>
    </row>
    <row r="8" spans="1:121" s="18" customFormat="1" ht="15.75" customHeight="1" x14ac:dyDescent="0.35">
      <c r="B8" s="70"/>
      <c r="C8" s="70"/>
      <c r="D8" s="80" t="str">
        <f ca="1">MID(CELL("filename",A1),FIND("]",CELL("filename",A1))+1,255)&amp;" Level Scorecard"</f>
        <v>Campaign Level Scorecard</v>
      </c>
      <c r="E8" s="28"/>
      <c r="F8" s="28"/>
      <c r="G8" s="230" t="s">
        <v>132</v>
      </c>
      <c r="H8" s="231"/>
      <c r="I8" s="128"/>
      <c r="J8" s="126" t="s">
        <v>16</v>
      </c>
      <c r="K8" s="127">
        <f>VLOOKUP(K6,Benchmark_Legend[],MATCH(ColumnC[[#This Row],[Metric]],Benchmark_Legend[#Headers],0),0)</f>
        <v>0.7</v>
      </c>
      <c r="L8" s="127">
        <f>VLOOKUP(L6,Benchmark_Legend[],MATCH(ColumnC[[#This Row],[Metric]],Benchmark_Legend[#Headers],0),0)</f>
        <v>0.98</v>
      </c>
      <c r="M8" s="127">
        <f>VLOOKUP(M6,Benchmark_Legend[],MATCH(ColumnC[[#This Row],[Metric]],Benchmark_Legend[#Headers],0),0)</f>
        <v>0.95</v>
      </c>
      <c r="N8" s="127">
        <f>VLOOKUP(N6,Benchmark_Legend[],MATCH(ColumnC[[#This Row],[Metric]],Benchmark_Legend[#Headers],0),0)</f>
        <v>0.05</v>
      </c>
      <c r="O8" s="127">
        <f>VLOOKUP(O6,Benchmark_Legend[],MATCH(ColumnC[[#This Row],[Metric]],Benchmark_Legend[#Headers],0),0)</f>
        <v>0.02</v>
      </c>
      <c r="P8" s="127">
        <f>VLOOKUP(P6,Benchmark_Legend[],MATCH(ColumnC[[#This Row],[Metric]],Benchmark_Legend[#Headers],0),0)</f>
        <v>0.02</v>
      </c>
      <c r="Q8" s="127">
        <f>VLOOKUP(Q6,Benchmark_Legend[],MATCH(ColumnC[[#This Row],[Metric]],Benchmark_Legend[#Headers],0),0)</f>
        <v>0.01</v>
      </c>
      <c r="R8" s="127">
        <f>VLOOKUP(R6,Benchmark_Legend[],MATCH(ColumnC[[#This Row],[Metric]],Benchmark_Legend[#Headers],0),0)</f>
        <v>0.01</v>
      </c>
      <c r="S8" s="127">
        <f>VLOOKUP(S6,Benchmark_Legend[],MATCH(ColumnC[[#This Row],[Metric]],Benchmark_Legend[#Headers],0),0)</f>
        <v>0.01</v>
      </c>
      <c r="T8" s="127">
        <f>VLOOKUP(T6,Benchmark_Legend[],MATCH(ColumnC[[#This Row],[Metric]],Benchmark_Legend[#Headers],0),0)</f>
        <v>0.03</v>
      </c>
      <c r="U8" s="127">
        <f>VLOOKUP(U6,Benchmark_Legend[],MATCH(ColumnC[[#This Row],[Metric]],Benchmark_Legend[#Headers],0),0)</f>
        <v>0.55000000000000004</v>
      </c>
      <c r="V8" s="127">
        <f>VLOOKUP(V6,Benchmark_Legend[],MATCH(ColumnC[[#This Row],[Metric]],Benchmark_Legend[#Headers],0),0)</f>
        <v>0.6</v>
      </c>
      <c r="W8" s="127">
        <f>VLOOKUP(W6,Benchmark_Legend[],MATCH(ColumnC[[#This Row],[Metric]],Benchmark_Legend[#Headers],0),0)</f>
        <v>0.5</v>
      </c>
      <c r="X8" s="127">
        <f>VLOOKUP(X6,Benchmark_Legend[],MATCH(ColumnC[[#This Row],[Metric]],Benchmark_Legend[#Headers],0),0)</f>
        <v>0.35</v>
      </c>
      <c r="Y8" s="127">
        <f>VLOOKUP(Y6,Benchmark_Legend[],MATCH(ColumnC[[#This Row],[Metric]],Benchmark_Legend[#Headers],0),0)</f>
        <v>0.25</v>
      </c>
      <c r="Z8" s="127">
        <f>VLOOKUP(Z6,Benchmark_Legend[],MATCH(ColumnC[[#This Row],[Metric]],Benchmark_Legend[#Headers],0),0)</f>
        <v>0.35</v>
      </c>
      <c r="AA8" s="127">
        <f>VLOOKUP(AA6,Benchmark_Legend[],MATCH(ColumnC[[#This Row],[Metric]],Benchmark_Legend[#Headers],0),0)</f>
        <v>0.25</v>
      </c>
    </row>
    <row r="9" spans="1:121" s="18" customFormat="1" ht="15.75" customHeight="1" thickBot="1" x14ac:dyDescent="0.4">
      <c r="B9" s="232" t="s">
        <v>154</v>
      </c>
      <c r="C9" s="232"/>
      <c r="D9" s="232"/>
      <c r="E9" s="28"/>
      <c r="F9" s="28"/>
      <c r="G9" s="117" t="s">
        <v>14</v>
      </c>
      <c r="H9" s="121" t="s">
        <v>14</v>
      </c>
      <c r="I9" s="109"/>
      <c r="J9" s="110" t="s">
        <v>130</v>
      </c>
      <c r="K9" s="99">
        <f t="array" aca="1" ref="K9" ca="1">SUM(
IF((DataC[Measured Rate 
'[% Measured']]&lt;&gt;"NULL"),
DataC[Measured Rate 
'[% Measured']]*
SUBTOTAL(9,OFFSET(DataC[Total Impressions],ROW(DataC[Total Impressions])-MIN(ROW(DataC[Total Impressions])),0,1))))
/
SUM(
IF((DataC[Measured Rate 
'[% Measured']]&lt;&gt;"NULL"),
SUBTOTAL(9,OFFSET(DataC[Total Impressions],ROW(DataC[Total Impressions])-MIN(ROW(DataC[Total Impressions])),0,1))))</f>
        <v>0.85349302334060362</v>
      </c>
      <c r="L9" s="99">
        <f t="array" aca="1" ref="L9" ca="1">SUM(
IF((DataC[See-Through Rate 
'[% Visible']]&lt;&gt;"NULL"),
DataC[See-Through Rate 
'[% Visible']]*
SUBTOTAL(9,OFFSET(DataC[Total Impressions],ROW(DataC[Total Impressions])-MIN(ROW(DataC[Total Impressions])),0,1))))
/
SUM(
IF((DataC[See-Through Rate 
'[% Visible']]&lt;&gt;"NULL"),
SUBTOTAL(9,OFFSET(DataC[Total Impressions],ROW(DataC[Total Impressions])-MIN(ROW(DataC[Total Impressions])),0,1))))</f>
        <v>0.96911245623448472</v>
      </c>
      <c r="M9" s="111">
        <f t="array" aca="1" ref="M9" ca="1">SUM(
IF((DataC[Brand Safety 
'[% Passed']]&lt;&gt;"NULL"),
DataC[Brand Safety 
'[% Passed']]*
SUBTOTAL(9,OFFSET(DataC[Total Impressions],ROW(DataC[Total Impressions])-MIN(ROW(DataC[Total Impressions])),0,1))))
/
SUM(
IF((DataC[Brand Safety 
'[% Passed']]&lt;&gt;"NULL"),
SUBTOTAL(9,OFFSET(DataC[Total Impressions],ROW(DataC[Total Impressions])-MIN(ROW(DataC[Total Impressions])),0,1))))</f>
        <v>0.95557715926973408</v>
      </c>
      <c r="N9" s="111">
        <f t="array" aca="1" ref="N9" ca="1">SUM(
IF((DataC[Brand Safety 
'[% Failed']]&lt;&gt;"NULL"),
DataC[Brand Safety 
'[% Failed']]*
SUBTOTAL(9,OFFSET(DataC[Total Impressions],ROW(DataC[Total Impressions])-MIN(ROW(DataC[Total Impressions])),0,1))))
/
SUM(
IF((DataC[Brand Safety 
'[% Failed']]&lt;&gt;"NULL"),
SUBTOTAL(9,OFFSET(DataC[Total Impressions],ROW(DataC[Total Impressions])-MIN(ROW(DataC[Total Impressions])),0,1))))</f>
        <v>4.4422840730252072E-2</v>
      </c>
      <c r="O9" s="111">
        <f t="array" aca="1" ref="O9" ca="1">SUM(
IF((DataC[Brand Safety 
'[% Failed by Content']]&lt;&gt;"NULL"),
DataC[Brand Safety 
'[% Failed by Content']]*
SUBTOTAL(9,OFFSET(DataC[Total Impressions],ROW(DataC[Total Impressions])-MIN(ROW(DataC[Total Impressions])),0,1))))
/
SUM(
IF((DataC[Brand Safety 
'[% Failed by Content']]&lt;&gt;"NULL"),
SUBTOTAL(9,OFFSET(DataC[Total Impressions],ROW(DataC[Total Impressions])-MIN(ROW(DataC[Total Impressions])),0,1))))</f>
        <v>2.2051754681726966E-2</v>
      </c>
      <c r="P9" s="111">
        <f t="array" aca="1" ref="P9" ca="1">SUM(
IF((DataC[Brand Safety 
'[% Failed by Geo']]&lt;&gt;"NULL"),
DataC[Brand Safety 
'[% Failed by Geo']]*
SUBTOTAL(9,OFFSET(DataC[Total Impressions],ROW(DataC[Total Impressions])-MIN(ROW(DataC[Total Impressions])),0,1))))
/
SUM(
IF((DataC[Brand Safety 
'[% Failed by Geo']]&lt;&gt;"NULL"),
SUBTOTAL(9,OFFSET(DataC[Total Impressions],ROW(DataC[Total Impressions])-MIN(ROW(DataC[Total Impressions])),0,1))))</f>
        <v>1.9317784484066786E-3</v>
      </c>
      <c r="Q9" s="99">
        <f t="array" aca="1" ref="Q9" ca="1">SUM(
IF((DataC[Brand Safety 
'[% Failed by Keyword']]&lt;&gt;"NULL"),
DataC[Brand Safety 
'[% Failed by Keyword']]*
SUBTOTAL(9,OFFSET(DataC[Total Impressions],ROW(DataC[Total Impressions])-MIN(ROW(DataC[Total Impressions])),0,1))))
/
SUM(
IF((DataC[Brand Safety 
'[% Failed by Keyword']]&lt;&gt;"NULL"),
SUBTOTAL(9,OFFSET(DataC[Total Impressions],ROW(DataC[Total Impressions])-MIN(ROW(DataC[Total Impressions])),0,1))))</f>
        <v>0</v>
      </c>
      <c r="R9" s="99">
        <f t="array" aca="1" ref="R9" ca="1">SUM(
IF((DataC[Brand Safety 
'[% Failed by Blacklist']]&lt;&gt;"NULL"),
DataC[Brand Safety 
'[% Failed by Blacklist']]*
SUBTOTAL(9,OFFSET(DataC[Total Impressions],ROW(DataC[Total Impressions])-MIN(ROW(DataC[Total Impressions])),0,1))))
/
SUM(
IF((DataC[Brand Safety 
'[% Failed by Blacklist']]&lt;&gt;"NULL"),
SUBTOTAL(9,OFFSET(DataC[Total Impressions],ROW(DataC[Total Impressions])-MIN(ROW(DataC[Total Impressions])),0,1))))</f>
        <v>6.3829212321992086E-4</v>
      </c>
      <c r="S9" s="99">
        <f t="array" aca="1" ref="S9" ca="1">SUM(
IF((DataC[Brand Safety 
'[% Failed by Language']]&lt;&gt;"NULL"),
DataC[Brand Safety 
'[% Failed by Language']]*
SUBTOTAL(9,OFFSET(DataC[Total Impressions],ROW(DataC[Total Impressions])-MIN(ROW(DataC[Total Impressions])),0,1))))
/
SUM(
IF((DataC[Brand Safety 
'[% Failed by Language']]&lt;&gt;"NULL"),
SUBTOTAL(9,OFFSET(DataC[Total Impressions],ROW(DataC[Total Impressions])-MIN(ROW(DataC[Total Impressions])),0,1))))</f>
        <v>0</v>
      </c>
      <c r="T9" s="99">
        <f t="array" aca="1" ref="T9" ca="1">SUM(
IF((DataC[Fraud 
'[% Fraud']]&lt;&gt;"NULL"),
DataC[Fraud 
'[% Fraud']]*
SUBTOTAL(9,OFFSET(DataC[Total Impressions],ROW(DataC[Total Impressions])-MIN(ROW(DataC[Total Impressions])),0,1))))
/
SUM(
IF((DataC[Fraud 
'[% Fraud']]&lt;&gt;"NULL"),
SUBTOTAL(9,OFFSET(DataC[Total Impressions],ROW(DataC[Total Impressions])-MIN(ROW(DataC[Total Impressions])),0,1))))</f>
        <v>2.0550221174651658E-2</v>
      </c>
      <c r="U9" s="99">
        <f t="array" aca="1" ref="U9" ca="1">SUM(
IF((DataC[Viewability 
'[Total Viewable Rate (Total Net Metrics)']]&lt;&gt;"NULL"),
DataC[Viewability 
'[Total Viewable Rate (Total Net Metrics)']]*SUBTOTAL(9,OFFSET(DataC[Measured Impressions],ROW(DataC[Measured Impressions])-MIN(ROW(DataC[Measured Impressions])),0,1))))
/
SUM(
IF((DataC[Viewability 
'[Total Viewable Rate (Total Net Metrics)']]&lt;&gt;"NULL"),
SUBTOTAL(9,OFFSET(DataC[Measured Impressions],ROW(DataC[Measured Impressions])-MIN(ROW(DataC[Measured Impressions])),0,1))))</f>
        <v>0.5757538259190188</v>
      </c>
      <c r="V9" s="99">
        <f t="array" aca="1" ref="V9" ca="1">SUM(
IF((DataC[Display Viewability 
'[Total Viewable Rate (Total Net Metrics)']]&lt;&gt;"NULL"),
DataC[Display Viewability 
'[Total Viewable Rate (Total Net Metrics)']]*SUBTOTAL(9,OFFSET(DataC[Measured Impressions],ROW(DataC[Measured Impressions])-MIN(ROW(DataC[Measured Impressions])),0,1))))
/
SUM(
IF((DataC[Display Viewability 
'[Total Viewable Rate (Total Net Metrics)']]&lt;&gt;"NULL"),
SUBTOTAL(9,OFFSET(DataC[Measured Impressions],ROW(DataC[Measured Impressions])-MIN(ROW(DataC[Measured Impressions])),0,1))))</f>
        <v>0.5757538259190188</v>
      </c>
      <c r="W9" s="111" t="e">
        <f t="array" aca="1" ref="W9" ca="1">SUM(
IF((DataC[Video Viewability 
'[Total Viewable Rate (Total Net Metrics)']]&lt;&gt;"NULL"),
DataC[Video Viewability 
'[Total Viewable Rate (Total Net Metrics)']]*SUBTOTAL(9,OFFSET(DataC[Measured Impressions],ROW(DataC[Measured Impressions])-MIN(ROW(DataC[Measured Impressions])),0,1))))
/
SUM(
IF((DataC[Video Viewability 
'[Total Viewable Rate (Total Net Metrics)']]&lt;&gt;"NULL"),
SUBTOTAL(9,OFFSET(DataC[Measured Impressions],ROW(DataC[Measured Impressions])-MIN(ROW(DataC[Measured Impressions])),0,1))))</f>
        <v>#DIV/0!</v>
      </c>
      <c r="X9" s="99">
        <f t="array" aca="1" ref="X9" ca="1">SUM(
IF((DataC[GroupM Viewability 
'[% Display Ads Fully in View']]&lt;&gt;"NULL"),
DataC[GroupM Viewability 
'[% Display Ads Fully in View']]*SUBTOTAL(9,OFFSET(DataC[Measured Impressions],ROW(DataC[Measured Impressions])-MIN(ROW(DataC[Measured Impressions])),0,1))))
/
SUM(
IF((DataC[GroupM Viewability 
'[% Display Ads Fully in View']]&lt;&gt;"NULL"),
SUBTOTAL(9,OFFSET(DataC[Measured Impressions],ROW(DataC[Measured Impressions])-MIN(ROW(DataC[Measured Impressions])),0,1))))</f>
        <v>0</v>
      </c>
      <c r="Y9" s="111" t="e">
        <f t="array" aca="1" ref="Y9" ca="1">SUM(
IF((DataC[GroupM Viewability 
'[% Videos Fully in View']]&lt;&gt;"NULL"),
DataC[GroupM Viewability 
'[% Videos Fully in View']]*SUBTOTAL(9,OFFSET(DataC[Measured Impressions],ROW(DataC[Measured Impressions])-MIN(ROW(DataC[Measured Impressions])),0,1))))
/
SUM(
IF((DataC[GroupM Viewability 
'[% Videos Fully in View']]&lt;&gt;"NULL"),
SUBTOTAL(9,OFFSET(DataC[Measured Impressions],ROW(DataC[Measured Impressions])-MIN(ROW(DataC[Measured Impressions])),0,1))))</f>
        <v>#DIV/0!</v>
      </c>
      <c r="Z9" s="99">
        <f t="array" aca="1" ref="Z9" ca="1">SUM(
IF((DataC[Publicis Viewability 
'[% Display Ads Fully in View']]&lt;&gt;"NULL"),
DataC[Publicis Viewability 
'[% Display Ads Fully in View']]*SUBTOTAL(9,OFFSET(DataC[Measured Impressions],ROW(DataC[Measured Impressions])-MIN(ROW(DataC[Measured Impressions])),0,1))))
/
SUM(
IF((DataC[Publicis Viewability 
'[% Display Ads Fully in View']]&lt;&gt;"NULL"),
SUBTOTAL(9,OFFSET(DataC[Measured Impressions],ROW(DataC[Measured Impressions])-MIN(ROW(DataC[Measured Impressions])),0,1))))</f>
        <v>0</v>
      </c>
      <c r="AA9" s="99" t="e">
        <f t="array" aca="1" ref="AA9" ca="1">SUM(
IF((DataC[Publicis Viewability 
'[% Videos Fully in View']]&lt;&gt;"NULL"),
DataC[Publicis Viewability 
'[% Videos Fully in View']]*SUBTOTAL(9,OFFSET(DataC[Measured Impressions],ROW(DataC[Measured Impressions])-MIN(ROW(DataC[Measured Impressions])),0,1))))
/
SUM(
IF((DataC[Publicis Viewability 
'[% Videos Fully in View']]&lt;&gt;"NULL"),
SUBTOTAL(9,OFFSET(DataC[Measured Impressions],ROW(DataC[Measured Impressions])-MIN(ROW(DataC[Measured Impressions])),0,1))))</f>
        <v>#DIV/0!</v>
      </c>
    </row>
    <row r="10" spans="1:121" s="18" customFormat="1" ht="15.75" hidden="1" customHeight="1" x14ac:dyDescent="0.35">
      <c r="A10" s="224"/>
      <c r="B10" s="225"/>
      <c r="C10" s="225"/>
      <c r="D10" s="226"/>
      <c r="E10" s="23"/>
      <c r="F10" s="28"/>
      <c r="G10" s="115" t="s">
        <v>14</v>
      </c>
      <c r="H10" s="115"/>
      <c r="I10" s="27"/>
      <c r="J10" s="101" t="s">
        <v>126</v>
      </c>
      <c r="K10" s="31" t="e">
        <f t="array" aca="1" ref="K10" ca="1">SUM(
IF(DataC[Measured Rate 
'[% Measured']]&lt;&gt;"NULL",
IF(DataC[Device Type]=ColumnC[[#This Row],[Metric]],
DataC[Measured Rate 
'[% Measured']]*
SUBTOTAL(9,OFFSET(DataC[Total Impressions],ROW(DataC[Total Impressions])-MIN(ROW(DataC[Total Impressions])),0,1)))))
/
SUM(
IF(DataC[Measured Rate 
'[% Measured']]&lt;&gt;"NULL",
IF(DataC[Device Type]=ColumnC[[#This Row],[Metric]],
SUBTOTAL(9,OFFSET(DataC[Total Impressions],ROW(DataC[Total Impressions])-MIN(ROW(DataC[Total Impressions])),0,1)))))</f>
        <v>#DIV/0!</v>
      </c>
      <c r="L10" s="32" t="e">
        <f t="array" aca="1" ref="L10" ca="1">SUM(
IF(DataC[See-Through Rate 
'[% Visible']]&lt;&gt;"NULL",
IF(DataC[Device Type]=ColumnC[[#This Row],[Metric]],
DataC[See-Through Rate 
'[% Visible']]*
SUBTOTAL(9,OFFSET(DataC[Total Impressions],ROW(DataC[Total Impressions])-MIN(ROW(DataC[Total Impressions])),0,1)))))
/
SUM(
IF(DataC[See-Through Rate 
'[% Visible']]&lt;&gt;"NULL",
IF(DataC[Device Type]=ColumnC[[#This Row],[Metric]],
SUBTOTAL(9,OFFSET(DataC[Total Impressions],ROW(DataC[Total Impressions])-MIN(ROW(DataC[Total Impressions])),0,1)))))</f>
        <v>#DIV/0!</v>
      </c>
      <c r="M10" s="32" t="e">
        <f t="array" aca="1" ref="M10" ca="1">SUM(
IF(DataC[Brand Safety 
'[% Passed']]&lt;&gt;"NULL",
IF(DataC[Device Type]=ColumnC[[#This Row],[Metric]],
DataC[Brand Safety 
'[% Passed']]*
SUBTOTAL(9,OFFSET(DataC[Total Impressions],ROW(DataC[Total Impressions])-MIN(ROW(DataC[Total Impressions])),0,1)))))
/
SUM(
IF(DataC[Brand Safety 
'[% Passed']]&lt;&gt;"NULL",
IF(DataC[Device Type]=ColumnC[[#This Row],[Metric]],
SUBTOTAL(9,OFFSET(DataC[Total Impressions],ROW(DataC[Total Impressions])-MIN(ROW(DataC[Total Impressions])),0,1)))))</f>
        <v>#DIV/0!</v>
      </c>
      <c r="N10" s="32" t="e">
        <f t="array" aca="1" ref="N10" ca="1">SUM(
IF(DataC[Brand Safety 
'[% Failed']]&lt;&gt;"NULL",
IF(DataC[Device Type]=ColumnC[[#This Row],[Metric]],
DataC[Brand Safety 
'[% Failed']]*
SUBTOTAL(9,OFFSET(DataC[Total Impressions],ROW(DataC[Total Impressions])-MIN(ROW(DataC[Total Impressions])),0,1)))))
/
SUM(
IF(DataC[Brand Safety 
'[% Failed']]&lt;&gt;"NULL",
IF(DataC[Device Type]=ColumnC[[#This Row],[Metric]],
SUBTOTAL(9,OFFSET(DataC[Total Impressions],ROW(DataC[Total Impressions])-MIN(ROW(DataC[Total Impressions])),0,1)))))</f>
        <v>#DIV/0!</v>
      </c>
      <c r="O10" s="32" t="e">
        <f t="array" aca="1" ref="O10" ca="1">SUM(
IF(DataC[Brand Safety 
'[% Failed by Content']]&lt;&gt;"NULL",
IF(DataC[Device Type]=ColumnC[[#This Row],[Metric]],
DataC[Brand Safety 
'[% Failed by Content']]*
SUBTOTAL(9,OFFSET(DataC[Total Impressions],ROW(DataC[Total Impressions])-MIN(ROW(DataC[Total Impressions])),0,1)))))
/
SUM(
IF(DataC[Brand Safety 
'[% Failed by Content']]&lt;&gt;"NULL",
IF(DataC[Device Type]=ColumnC[[#This Row],[Metric]],
SUBTOTAL(9,OFFSET(DataC[Total Impressions],ROW(DataC[Total Impressions])-MIN(ROW(DataC[Total Impressions])),0,1)))))</f>
        <v>#DIV/0!</v>
      </c>
      <c r="P10" s="32" t="e">
        <f t="array" aca="1" ref="P10" ca="1">SUM(
IF(DataC[Brand Safety 
'[% Failed by Geo']]&lt;&gt;"NULL",
IF(DataC[Device Type]=ColumnC[[#This Row],[Metric]],
DataC[Brand Safety 
'[% Failed by Geo']]*
SUBTOTAL(9,OFFSET(DataC[Total Impressions],ROW(DataC[Total Impressions])-MIN(ROW(DataC[Total Impressions])),0,1)))))
/
SUM(
IF(DataC[Brand Safety 
'[% Failed by Geo']]&lt;&gt;"NULL",
IF(DataC[Device Type]=ColumnC[[#This Row],[Metric]],
SUBTOTAL(9,OFFSET(DataC[Total Impressions],ROW(DataC[Total Impressions])-MIN(ROW(DataC[Total Impressions])),0,1)))))</f>
        <v>#DIV/0!</v>
      </c>
      <c r="Q10" s="32" t="e">
        <f t="array" aca="1" ref="Q10" ca="1">SUM(
IF(DataC[Brand Safety 
'[% Failed by Keyword']]&lt;&gt;"NULL",
IF(DataC[Device Type]=ColumnC[[#This Row],[Metric]],
DataC[Brand Safety 
'[% Failed by Keyword']]*
SUBTOTAL(9,OFFSET(DataC[Total Impressions],ROW(DataC[Total Impressions])-MIN(ROW(DataC[Total Impressions])),0,1)))))
/
SUM(
IF(DataC[Brand Safety 
'[% Failed by Keyword']]&lt;&gt;"NULL",
IF(DataC[Device Type]=ColumnC[[#This Row],[Metric]],
SUBTOTAL(9,OFFSET(DataC[Total Impressions],ROW(DataC[Total Impressions])-MIN(ROW(DataC[Total Impressions])),0,1)))))</f>
        <v>#DIV/0!</v>
      </c>
      <c r="R10" s="32" t="e">
        <f t="array" aca="1" ref="R10" ca="1">SUM(
IF(DataC[Brand Safety 
'[% Failed by Blacklist']]&lt;&gt;"NULL",
IF(DataC[Device Type]=ColumnC[[#This Row],[Metric]],
DataC[Brand Safety 
'[% Failed by Blacklist']]*
SUBTOTAL(9,OFFSET(DataC[Total Impressions],ROW(DataC[Total Impressions])-MIN(ROW(DataC[Total Impressions])),0,1)))))
/
SUM(
IF(DataC[Brand Safety 
'[% Failed by Blacklist']]&lt;&gt;"NULL",
IF(DataC[Device Type]=ColumnC[[#This Row],[Metric]],
SUBTOTAL(9,OFFSET(DataC[Total Impressions],ROW(DataC[Total Impressions])-MIN(ROW(DataC[Total Impressions])),0,1)))))</f>
        <v>#DIV/0!</v>
      </c>
      <c r="S10" s="32" t="e">
        <f t="array" aca="1" ref="S10" ca="1">SUM(
IF(DataC[Brand Safety 
'[% Failed by Language']]&lt;&gt;"NULL",
IF(DataC[Device Type]=ColumnC[[#This Row],[Metric]],
DataC[Brand Safety 
'[% Failed by Language']]*
SUBTOTAL(9,OFFSET(DataC[Total Impressions],ROW(DataC[Total Impressions])-MIN(ROW(DataC[Total Impressions])),0,1)))))
/
SUM(
IF(DataC[Brand Safety 
'[% Failed by Language']]&lt;&gt;"NULL",
IF(DataC[Device Type]=ColumnC[[#This Row],[Metric]],
SUBTOTAL(9,OFFSET(DataC[Total Impressions],ROW(DataC[Total Impressions])-MIN(ROW(DataC[Total Impressions])),0,1)))))</f>
        <v>#DIV/0!</v>
      </c>
      <c r="T10" s="32" t="e">
        <f t="array" aca="1" ref="T10" ca="1">SUM(
IF(DataC[Fraud 
'[% Fraud']]&lt;&gt;"NULL",
IF(DataC[Device Type]=ColumnC[[#This Row],[Metric]],
DataC[Fraud 
'[% Fraud']]*
SUBTOTAL(9,OFFSET(DataC[Total Impressions],ROW(DataC[Total Impressions])-MIN(ROW(DataC[Total Impressions])),0,1)))))
/
SUM(
IF(DataC[Fraud 
'[% Fraud']]&lt;&gt;"NULL",
IF(DataC[Device Type]=ColumnC[[#This Row],[Metric]],
SUBTOTAL(9,OFFSET(DataC[Total Impressions],ROW(DataC[Total Impressions])-MIN(ROW(DataC[Total Impressions])),0,1)))))</f>
        <v>#DIV/0!</v>
      </c>
      <c r="U10" s="32" t="e">
        <f t="array" aca="1" ref="U10" ca="1">SUM(
IF(DataC[Viewability 
'[Total Viewable Rate (Total Net Metrics)']]&lt;&gt;"NULL",
IF(DataC[Device Type]=ColumnC[[#This Row],[Metric]],
DataC[Viewability 
'[Total Viewable Rate (Total Net Metrics)']]*
SUBTOTAL(9,OFFSET(DataC[Total Impressions],ROW(DataC[Total Impressions])-MIN(ROW(DataC[Total Impressions])),0,1)))))
/
SUM(
IF(DataC[Viewability 
'[Total Viewable Rate (Total Net Metrics)']]&lt;&gt;"NULL",
IF(DataC[Device Type]=ColumnC[[#This Row],[Metric]],
SUBTOTAL(9,OFFSET(DataC[Total Impressions],ROW(DataC[Total Impressions])-MIN(ROW(DataC[Total Impressions])),0,1)))))</f>
        <v>#DIV/0!</v>
      </c>
      <c r="V10" s="32" t="e">
        <f t="array" aca="1" ref="V10" ca="1">SUM(
IF(DataC[Display Viewability 
'[Total Viewable Rate (Total Net Metrics)']]&lt;&gt;"NULL",
IF(DataC[Device Type]=ColumnC[[#This Row],[Metric]],
DataC[Display Viewability 
'[Total Viewable Rate (Total Net Metrics)']]*
SUBTOTAL(9,OFFSET(DataC[Total Impressions],ROW(DataC[Total Impressions])-MIN(ROW(DataC[Total Impressions])),0,1)))))
/
SUM(
IF(DataC[Display Viewability 
'[Total Viewable Rate (Total Net Metrics)']]&lt;&gt;"NULL",
IF(DataC[Device Type]=ColumnC[[#This Row],[Metric]],
SUBTOTAL(9,OFFSET(DataC[Total Impressions],ROW(DataC[Total Impressions])-MIN(ROW(DataC[Total Impressions])),0,1)))))</f>
        <v>#DIV/0!</v>
      </c>
      <c r="W10" s="32" t="e">
        <f t="array" aca="1" ref="W10" ca="1">SUM(
IF(DataC[Video Viewability 
'[Total Viewable Rate (Total Net Metrics)']]&lt;&gt;"NULL",
IF(DataC[Device Type]=ColumnC[[#This Row],[Metric]],
DataC[Video Viewability 
'[Total Viewable Rate (Total Net Metrics)']]*
SUBTOTAL(9,OFFSET(DataC[Total Impressions],ROW(DataC[Total Impressions])-MIN(ROW(DataC[Total Impressions])),0,1)))))
/
SUM(
IF(DataC[Video Viewability 
'[Total Viewable Rate (Total Net Metrics)']]&lt;&gt;"NULL",
IF(DataC[Device Type]=ColumnC[[#This Row],[Metric]],
SUBTOTAL(9,OFFSET(DataC[Total Impressions],ROW(DataC[Total Impressions])-MIN(ROW(DataC[Total Impressions])),0,1)))))</f>
        <v>#DIV/0!</v>
      </c>
      <c r="X10" s="32" t="e">
        <f t="array" aca="1" ref="X10" ca="1">SUM(
IF(DataC[GroupM Viewability 
'[% Display Ads Fully in View']]&lt;&gt;"NULL",
IF(DataC[Device Type]=ColumnC[[#This Row],[Metric]],
DataC[GroupM Viewability 
'[% Display Ads Fully in View']]*
SUBTOTAL(9,OFFSET(DataC[Total Impressions],ROW(DataC[Total Impressions])-MIN(ROW(DataC[Total Impressions])),0,1)))))
/
SUM(
IF(DataC[GroupM Viewability 
'[% Display Ads Fully in View']]&lt;&gt;"NULL",
IF(DataC[Device Type]=ColumnC[[#This Row],[Metric]],
SUBTOTAL(9,OFFSET(DataC[Total Impressions],ROW(DataC[Total Impressions])-MIN(ROW(DataC[Total Impressions])),0,1)))))</f>
        <v>#DIV/0!</v>
      </c>
      <c r="Y10" s="32" t="e">
        <f t="array" aca="1" ref="Y10" ca="1">SUM(
IF(DataC[GroupM Viewability 
'[% Videos Fully in View']]&lt;&gt;"NULL",
IF(DataC[Device Type]=ColumnC[[#This Row],[Metric]],
DataC[GroupM Viewability 
'[% Videos Fully in View']]*
SUBTOTAL(9,OFFSET(DataC[Total Impressions],ROW(DataC[Total Impressions])-MIN(ROW(DataC[Total Impressions])),0,1)))))
/
SUM(
IF(DataC[GroupM Viewability 
'[% Videos Fully in View']]&lt;&gt;"NULL",
IF(DataC[Device Type]=ColumnC[[#This Row],[Metric]],
SUBTOTAL(9,OFFSET(DataC[Total Impressions],ROW(DataC[Total Impressions])-MIN(ROW(DataC[Total Impressions])),0,1)))))</f>
        <v>#DIV/0!</v>
      </c>
      <c r="Z10" s="32" t="e">
        <f t="array" aca="1" ref="Z10" ca="1">SUM(
IF(DataC[Publicis Viewability 
'[% Display Ads Fully in View']]&lt;&gt;"NULL",
IF(DataC[Device Type]=ColumnC[[#This Row],[Metric]],
DataC[Publicis Viewability 
'[% Display Ads Fully in View']]*
SUBTOTAL(9,OFFSET(DataC[Total Impressions],ROW(DataC[Total Impressions])-MIN(ROW(DataC[Total Impressions])),0,1)))))
/
SUM(
IF(DataC[Publicis Viewability 
'[% Display Ads Fully in View']]&lt;&gt;"NULL",
IF(DataC[Device Type]=ColumnC[[#This Row],[Metric]],
SUBTOTAL(9,OFFSET(DataC[Total Impressions],ROW(DataC[Total Impressions])-MIN(ROW(DataC[Total Impressions])),0,1)))))</f>
        <v>#DIV/0!</v>
      </c>
      <c r="AA10" s="32" t="e">
        <f t="array" aca="1" ref="AA10" ca="1">SUM(
IF(DataC[Publicis Viewability 
'[% Videos Fully in View']]&lt;&gt;"NULL",
IF(DataC[Device Type]=ColumnC[[#This Row],[Metric]],
DataC[Publicis Viewability 
'[% Videos Fully in View']]*
SUBTOTAL(9,OFFSET(DataC[Total Impressions],ROW(DataC[Total Impressions])-MIN(ROW(DataC[Total Impressions])),0,1)))))
/
SUM(
IF(DataC[Publicis Viewability 
'[% Videos Fully in View']]&lt;&gt;"NULL",
IF(DataC[Device Type]=ColumnC[[#This Row],[Metric]],
SUBTOTAL(9,OFFSET(DataC[Total Impressions],ROW(DataC[Total Impressions])-MIN(ROW(DataC[Total Impressions])),0,1)))))</f>
        <v>#DIV/0!</v>
      </c>
    </row>
    <row r="11" spans="1:121" s="18" customFormat="1" ht="16.5" hidden="1" customHeight="1" x14ac:dyDescent="0.35">
      <c r="A11" s="221"/>
      <c r="B11" s="222"/>
      <c r="C11" s="222"/>
      <c r="D11" s="223"/>
      <c r="E11" s="23"/>
      <c r="F11" s="28"/>
      <c r="G11" s="115" t="s">
        <v>14</v>
      </c>
      <c r="H11" s="115"/>
      <c r="I11" s="27"/>
      <c r="J11" s="101" t="s">
        <v>140</v>
      </c>
      <c r="K11" s="31" t="e">
        <f t="array" aca="1" ref="K11" ca="1">SUM(
IF(DataC[Measured Rate 
'[% Measured']]&lt;&gt;"NULL",
IF(DataC[Brand]=ColumnC[[#This Row],[Metric]],
DataC[Measured Rate 
'[% Measured']]*
SUBTOTAL(9,OFFSET(DataC[Total Impressions],ROW(DataC[Total Impressions])-MIN(ROW(DataC[Total Impressions])),0,1)))))
/
SUM(
IF(DataC[Measured Rate 
'[% Measured']]&lt;&gt;"NULL",
IF(DataC[Brand]=ColumnC[[#This Row],[Metric]],
SUBTOTAL(9,OFFSET(DataC[Total Impressions],ROW(DataC[Total Impressions])-MIN(ROW(DataC[Total Impressions])),0,1)))))</f>
        <v>#DIV/0!</v>
      </c>
      <c r="L11" s="32" t="e">
        <f t="array" aca="1" ref="L11" ca="1">SUM(
IF(DataC[See-Through Rate 
'[% Visible']]&lt;&gt;"NULL",
IF(DataC[Brand]=ColumnC[[#This Row],[Metric]],
DataC[See-Through Rate 
'[% Visible']]*
SUBTOTAL(9,OFFSET(DataC[Total Impressions],ROW(DataC[Total Impressions])-MIN(ROW(DataC[Total Impressions])),0,1)))))
/
SUM(
IF(DataC[See-Through Rate 
'[% Visible']]&lt;&gt;"NULL",
IF(DataC[Brand]=ColumnC[[#This Row],[Metric]],
SUBTOTAL(9,OFFSET(DataC[Total Impressions],ROW(DataC[Total Impressions])-MIN(ROW(DataC[Total Impressions])),0,1)))))</f>
        <v>#DIV/0!</v>
      </c>
      <c r="M11" s="32" t="e">
        <f t="array" aca="1" ref="M11" ca="1">SUM(
IF(DataC[Brand Safety 
'[% Passed']]&lt;&gt;"NULL",
IF(DataC[Brand]=ColumnC[[#This Row],[Metric]],
DataC[Brand Safety 
'[% Passed']]*
SUBTOTAL(9,OFFSET(DataC[Total Impressions],ROW(DataC[Total Impressions])-MIN(ROW(DataC[Total Impressions])),0,1)))))
/
SUM(
IF(DataC[Brand Safety 
'[% Passed']]&lt;&gt;"NULL",
IF(DataC[Brand]=ColumnC[[#This Row],[Metric]],
SUBTOTAL(9,OFFSET(DataC[Total Impressions],ROW(DataC[Total Impressions])-MIN(ROW(DataC[Total Impressions])),0,1)))))</f>
        <v>#DIV/0!</v>
      </c>
      <c r="N11" s="32" t="e">
        <f t="array" aca="1" ref="N11" ca="1">SUM(
IF(DataC[Brand Safety 
'[% Failed']]&lt;&gt;"NULL",
IF(DataC[Brand]=ColumnC[[#This Row],[Metric]],
DataC[Brand Safety 
'[% Failed']]*
SUBTOTAL(9,OFFSET(DataC[Total Impressions],ROW(DataC[Total Impressions])-MIN(ROW(DataC[Total Impressions])),0,1)))))
/
SUM(
IF(DataC[Brand Safety 
'[% Failed']]&lt;&gt;"NULL",
IF(DataC[Brand]=ColumnC[[#This Row],[Metric]],
SUBTOTAL(9,OFFSET(DataC[Total Impressions],ROW(DataC[Total Impressions])-MIN(ROW(DataC[Total Impressions])),0,1)))))</f>
        <v>#DIV/0!</v>
      </c>
      <c r="O11" s="32" t="e">
        <f t="array" aca="1" ref="O11" ca="1">SUM(
IF(DataC[Brand Safety 
'[% Failed by Content']]&lt;&gt;"NULL",
IF(DataC[Brand]=ColumnC[[#This Row],[Metric]],
DataC[Brand Safety 
'[% Failed by Content']]*
SUBTOTAL(9,OFFSET(DataC[Total Impressions],ROW(DataC[Total Impressions])-MIN(ROW(DataC[Total Impressions])),0,1)))))
/
SUM(
IF(DataC[Brand Safety 
'[% Failed by Content']]&lt;&gt;"NULL",
IF(DataC[Brand]=ColumnC[[#This Row],[Metric]],
SUBTOTAL(9,OFFSET(DataC[Total Impressions],ROW(DataC[Total Impressions])-MIN(ROW(DataC[Total Impressions])),0,1)))))</f>
        <v>#DIV/0!</v>
      </c>
      <c r="P11" s="32" t="e">
        <f t="array" aca="1" ref="P11" ca="1">SUM(
IF(DataC[Brand Safety 
'[% Failed by Geo']]&lt;&gt;"NULL",
IF(DataC[Brand]=ColumnC[[#This Row],[Metric]],
DataC[Brand Safety 
'[% Failed by Geo']]*
SUBTOTAL(9,OFFSET(DataC[Total Impressions],ROW(DataC[Total Impressions])-MIN(ROW(DataC[Total Impressions])),0,1)))))
/
SUM(
IF(DataC[Brand Safety 
'[% Failed by Geo']]&lt;&gt;"NULL",
IF(DataC[Brand]=ColumnC[[#This Row],[Metric]],
SUBTOTAL(9,OFFSET(DataC[Total Impressions],ROW(DataC[Total Impressions])-MIN(ROW(DataC[Total Impressions])),0,1)))))</f>
        <v>#DIV/0!</v>
      </c>
      <c r="Q11" s="32" t="e">
        <f t="array" aca="1" ref="Q11" ca="1">SUM(
IF(DataC[Brand Safety 
'[% Failed by Keyword']]&lt;&gt;"NULL",
IF(DataC[Brand]=ColumnC[[#This Row],[Metric]],
DataC[Brand Safety 
'[% Failed by Keyword']]*
SUBTOTAL(9,OFFSET(DataC[Total Impressions],ROW(DataC[Total Impressions])-MIN(ROW(DataC[Total Impressions])),0,1)))))
/
SUM(
IF(DataC[Brand Safety 
'[% Failed by Keyword']]&lt;&gt;"NULL",
IF(DataC[Brand]=ColumnC[[#This Row],[Metric]],
SUBTOTAL(9,OFFSET(DataC[Total Impressions],ROW(DataC[Total Impressions])-MIN(ROW(DataC[Total Impressions])),0,1)))))</f>
        <v>#DIV/0!</v>
      </c>
      <c r="R11" s="32" t="e">
        <f t="array" aca="1" ref="R11" ca="1">SUM(
IF(DataC[Brand Safety 
'[% Failed by Blacklist']]&lt;&gt;"NULL",
IF(DataC[Brand]=ColumnC[[#This Row],[Metric]],
DataC[Brand Safety 
'[% Failed by Blacklist']]*
SUBTOTAL(9,OFFSET(DataC[Total Impressions],ROW(DataC[Total Impressions])-MIN(ROW(DataC[Total Impressions])),0,1)))))
/
SUM(
IF(DataC[Brand Safety 
'[% Failed by Blacklist']]&lt;&gt;"NULL",
IF(DataC[Brand]=ColumnC[[#This Row],[Metric]],
SUBTOTAL(9,OFFSET(DataC[Total Impressions],ROW(DataC[Total Impressions])-MIN(ROW(DataC[Total Impressions])),0,1)))))</f>
        <v>#DIV/0!</v>
      </c>
      <c r="S11" s="32" t="e">
        <f t="array" aca="1" ref="S11" ca="1">SUM(
IF(DataC[Brand Safety 
'[% Failed by Language']]&lt;&gt;"NULL",
IF(DataC[Brand]=ColumnC[[#This Row],[Metric]],
DataC[Brand Safety 
'[% Failed by Language']]*
SUBTOTAL(9,OFFSET(DataC[Total Impressions],ROW(DataC[Total Impressions])-MIN(ROW(DataC[Total Impressions])),0,1)))))
/
SUM(
IF(DataC[Brand Safety 
'[% Failed by Language']]&lt;&gt;"NULL",
IF(DataC[Brand]=ColumnC[[#This Row],[Metric]],
SUBTOTAL(9,OFFSET(DataC[Total Impressions],ROW(DataC[Total Impressions])-MIN(ROW(DataC[Total Impressions])),0,1)))))</f>
        <v>#DIV/0!</v>
      </c>
      <c r="T11" s="32" t="e">
        <f t="array" aca="1" ref="T11" ca="1">SUM(
IF(DataC[Fraud 
'[% Fraud']]&lt;&gt;"NULL",
IF(DataC[Brand]=ColumnC[[#This Row],[Metric]],
DataC[Fraud 
'[% Fraud']]*
SUBTOTAL(9,OFFSET(DataC[Total Impressions],ROW(DataC[Total Impressions])-MIN(ROW(DataC[Total Impressions])),0,1)))))
/
SUM(
IF(DataC[Fraud 
'[% Fraud']]&lt;&gt;"NULL",
IF(DataC[Brand]=ColumnC[[#This Row],[Metric]],
SUBTOTAL(9,OFFSET(DataC[Total Impressions],ROW(DataC[Total Impressions])-MIN(ROW(DataC[Total Impressions])),0,1)))))</f>
        <v>#DIV/0!</v>
      </c>
      <c r="U11" s="32" t="e">
        <f t="array" aca="1" ref="U11" ca="1">SUM(
IF(DataC[Viewability 
'[Total Viewable Rate (Total Net Metrics)']]&lt;&gt;"NULL",
IF(DataC[Brand]=ColumnC[[#This Row],[Metric]],
DataC[Viewability 
'[Total Viewable Rate (Total Net Metrics)']]*
SUBTOTAL(9,OFFSET(DataC[Total Impressions],ROW(DataC[Total Impressions])-MIN(ROW(DataC[Total Impressions])),0,1)))))
/
SUM(
IF(DataC[Viewability 
'[Total Viewable Rate (Total Net Metrics)']]&lt;&gt;"NULL",
IF(DataC[Brand]=ColumnC[[#This Row],[Metric]],
SUBTOTAL(9,OFFSET(DataC[Total Impressions],ROW(DataC[Total Impressions])-MIN(ROW(DataC[Total Impressions])),0,1)))))</f>
        <v>#DIV/0!</v>
      </c>
      <c r="V11" s="32" t="e">
        <f t="array" aca="1" ref="V11" ca="1">SUM(
IF(DataC[Display Viewability 
'[Total Viewable Rate (Total Net Metrics)']]&lt;&gt;"NULL",
IF(DataC[Brand]=ColumnC[[#This Row],[Metric]],
DataC[Display Viewability 
'[Total Viewable Rate (Total Net Metrics)']]*
SUBTOTAL(9,OFFSET(DataC[Total Impressions],ROW(DataC[Total Impressions])-MIN(ROW(DataC[Total Impressions])),0,1)))))
/
SUM(
IF(DataC[Display Viewability 
'[Total Viewable Rate (Total Net Metrics)']]&lt;&gt;"NULL",
IF(DataC[Brand]=ColumnC[[#This Row],[Metric]],
SUBTOTAL(9,OFFSET(DataC[Total Impressions],ROW(DataC[Total Impressions])-MIN(ROW(DataC[Total Impressions])),0,1)))))</f>
        <v>#DIV/0!</v>
      </c>
      <c r="W11" s="32" t="e">
        <f t="array" aca="1" ref="W11" ca="1">SUM(
IF(DataC[Video Viewability 
'[Total Viewable Rate (Total Net Metrics)']]&lt;&gt;"NULL",
IF(DataC[Brand]=ColumnC[[#This Row],[Metric]],
DataC[Video Viewability 
'[Total Viewable Rate (Total Net Metrics)']]*
SUBTOTAL(9,OFFSET(DataC[Total Impressions],ROW(DataC[Total Impressions])-MIN(ROW(DataC[Total Impressions])),0,1)))))
/
SUM(
IF(DataC[Video Viewability 
'[Total Viewable Rate (Total Net Metrics)']]&lt;&gt;"NULL",
IF(DataC[Brand]=ColumnC[[#This Row],[Metric]],
SUBTOTAL(9,OFFSET(DataC[Total Impressions],ROW(DataC[Total Impressions])-MIN(ROW(DataC[Total Impressions])),0,1)))))</f>
        <v>#DIV/0!</v>
      </c>
      <c r="X11" s="32" t="e">
        <f t="array" aca="1" ref="X11" ca="1">SUM(
IF(DataC[GroupM Viewability 
'[% Display Ads Fully in View']]&lt;&gt;"NULL",
IF(DataC[Brand]=ColumnC[[#This Row],[Metric]],
DataC[GroupM Viewability 
'[% Display Ads Fully in View']]*
SUBTOTAL(9,OFFSET(DataC[Total Impressions],ROW(DataC[Total Impressions])-MIN(ROW(DataC[Total Impressions])),0,1)))))
/
SUM(
IF(DataC[GroupM Viewability 
'[% Display Ads Fully in View']]&lt;&gt;"NULL",
IF(DataC[Brand]=ColumnC[[#This Row],[Metric]],
SUBTOTAL(9,OFFSET(DataC[Total Impressions],ROW(DataC[Total Impressions])-MIN(ROW(DataC[Total Impressions])),0,1)))))</f>
        <v>#DIV/0!</v>
      </c>
      <c r="Y11" s="32" t="e">
        <f t="array" aca="1" ref="Y11" ca="1">SUM(
IF(DataC[GroupM Viewability 
'[% Videos Fully in View']]&lt;&gt;"NULL",
IF(DataC[Brand]=ColumnC[[#This Row],[Metric]],
DataC[GroupM Viewability 
'[% Videos Fully in View']]*
SUBTOTAL(9,OFFSET(DataC[Total Impressions],ROW(DataC[Total Impressions])-MIN(ROW(DataC[Total Impressions])),0,1)))))
/
SUM(
IF(DataC[GroupM Viewability 
'[% Videos Fully in View']]&lt;&gt;"NULL",
IF(DataC[Brand]=ColumnC[[#This Row],[Metric]],
SUBTOTAL(9,OFFSET(DataC[Total Impressions],ROW(DataC[Total Impressions])-MIN(ROW(DataC[Total Impressions])),0,1)))))</f>
        <v>#DIV/0!</v>
      </c>
      <c r="Z11" s="32" t="e">
        <f t="array" aca="1" ref="Z11" ca="1">SUM(
IF(DataC[Publicis Viewability 
'[% Display Ads Fully in View']]&lt;&gt;"NULL",
IF(DataC[Brand]=ColumnC[[#This Row],[Metric]],
DataC[Publicis Viewability 
'[% Display Ads Fully in View']]*
SUBTOTAL(9,OFFSET(DataC[Total Impressions],ROW(DataC[Total Impressions])-MIN(ROW(DataC[Total Impressions])),0,1)))))
/
SUM(
IF(DataC[Publicis Viewability 
'[% Display Ads Fully in View']]&lt;&gt;"NULL",
IF(DataC[Brand]=ColumnC[[#This Row],[Metric]],
SUBTOTAL(9,OFFSET(DataC[Total Impressions],ROW(DataC[Total Impressions])-MIN(ROW(DataC[Total Impressions])),0,1)))))</f>
        <v>#DIV/0!</v>
      </c>
      <c r="AA11" s="32" t="e">
        <f t="array" aca="1" ref="AA11" ca="1">SUM(
IF(DataC[Publicis Viewability 
'[% Videos Fully in View']]&lt;&gt;"NULL",
IF(DataC[Brand]=ColumnC[[#This Row],[Metric]],
DataC[Publicis Viewability 
'[% Videos Fully in View']]*
SUBTOTAL(9,OFFSET(DataC[Total Impressions],ROW(DataC[Total Impressions])-MIN(ROW(DataC[Total Impressions])),0,1)))))
/
SUM(
IF(DataC[Publicis Viewability 
'[% Videos Fully in View']]&lt;&gt;"NULL",
IF(DataC[Brand]=ColumnC[[#This Row],[Metric]],
SUBTOTAL(9,OFFSET(DataC[Total Impressions],ROW(DataC[Total Impressions])-MIN(ROW(DataC[Total Impressions])),0,1)))))</f>
        <v>#DIV/0!</v>
      </c>
    </row>
    <row r="12" spans="1:121" s="18" customFormat="1" ht="16.5" hidden="1" customHeight="1" x14ac:dyDescent="0.35">
      <c r="A12" s="224"/>
      <c r="B12" s="225"/>
      <c r="C12" s="225"/>
      <c r="D12" s="226"/>
      <c r="E12" s="23"/>
      <c r="F12" s="28"/>
      <c r="G12" s="227" t="s">
        <v>8</v>
      </c>
      <c r="H12" s="227"/>
      <c r="I12" s="27"/>
      <c r="J12" s="102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</row>
    <row r="13" spans="1:121" s="18" customFormat="1" ht="15.75" hidden="1" customHeight="1" x14ac:dyDescent="0.35">
      <c r="B13" s="33"/>
      <c r="C13" s="33"/>
      <c r="D13" s="34"/>
      <c r="E13" s="23"/>
      <c r="F13" s="28"/>
      <c r="G13" s="227" t="s">
        <v>8</v>
      </c>
      <c r="H13" s="227"/>
      <c r="I13" s="27"/>
      <c r="J13" s="106" t="s">
        <v>6</v>
      </c>
      <c r="K13" s="107">
        <v>0</v>
      </c>
      <c r="L13" s="107">
        <v>0</v>
      </c>
      <c r="M13" s="107">
        <v>0</v>
      </c>
      <c r="N13" s="107">
        <v>0</v>
      </c>
      <c r="O13" s="107">
        <v>0</v>
      </c>
      <c r="P13" s="107">
        <v>0</v>
      </c>
      <c r="Q13" s="107">
        <v>1</v>
      </c>
      <c r="R13" s="107">
        <v>0</v>
      </c>
      <c r="S13" s="107">
        <v>0</v>
      </c>
      <c r="T13" s="107">
        <v>0</v>
      </c>
      <c r="U13" s="107">
        <v>0</v>
      </c>
      <c r="V13" s="107">
        <v>0</v>
      </c>
      <c r="W13" s="107">
        <v>0</v>
      </c>
      <c r="X13" s="107">
        <v>0</v>
      </c>
      <c r="Y13" s="107">
        <v>0</v>
      </c>
      <c r="Z13" s="107">
        <v>0</v>
      </c>
      <c r="AA13" s="107">
        <v>0</v>
      </c>
    </row>
    <row r="14" spans="1:121" s="18" customFormat="1" ht="15.75" customHeight="1" thickBot="1" x14ac:dyDescent="0.4">
      <c r="B14" s="35"/>
      <c r="C14" s="22"/>
      <c r="D14" s="22"/>
      <c r="E14" s="13" t="s">
        <v>21</v>
      </c>
      <c r="F14" s="13" t="s">
        <v>21</v>
      </c>
      <c r="G14" s="13" t="s">
        <v>21</v>
      </c>
      <c r="H14" s="35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31</v>
      </c>
      <c r="C15" s="40" t="s">
        <v>20</v>
      </c>
      <c r="D15" s="83" t="s">
        <v>9</v>
      </c>
      <c r="E15" s="84" t="s">
        <v>141</v>
      </c>
      <c r="F15" s="84" t="s">
        <v>22</v>
      </c>
      <c r="G15" s="84" t="s">
        <v>38</v>
      </c>
      <c r="H15" s="25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thickBot="1" x14ac:dyDescent="0.3">
      <c r="B16" s="44">
        <v>7414</v>
      </c>
      <c r="C16" s="45" t="s">
        <v>165</v>
      </c>
      <c r="D16" s="90" t="s">
        <v>166</v>
      </c>
      <c r="E16" s="85" t="s">
        <v>10</v>
      </c>
      <c r="F16" s="85" t="s">
        <v>10</v>
      </c>
      <c r="G16" s="85" t="s">
        <v>10</v>
      </c>
      <c r="H16" s="85" t="s">
        <v>167</v>
      </c>
      <c r="I16" s="86">
        <v>19903962</v>
      </c>
      <c r="J16" s="87">
        <v>23967182</v>
      </c>
      <c r="K16" s="88">
        <v>0.88211950889599999</v>
      </c>
      <c r="L16" s="88">
        <v>0.99799183733800001</v>
      </c>
      <c r="M16" s="88">
        <v>0.94144538978299996</v>
      </c>
      <c r="N16" s="88">
        <v>5.8554610216600002E-2</v>
      </c>
      <c r="O16" s="88">
        <v>2.84190273183E-2</v>
      </c>
      <c r="P16" s="88">
        <v>6.2253459751800003E-3</v>
      </c>
      <c r="Q16" s="88">
        <v>0</v>
      </c>
      <c r="R16" s="88">
        <v>0</v>
      </c>
      <c r="S16" s="88">
        <v>0</v>
      </c>
      <c r="T16" s="88">
        <v>2.5229833027499999E-2</v>
      </c>
      <c r="U16" s="88">
        <v>0.57538308202199995</v>
      </c>
      <c r="V16" s="88">
        <v>0.57538308202199995</v>
      </c>
      <c r="W16" s="88" t="s">
        <v>168</v>
      </c>
      <c r="X16" s="88">
        <v>0</v>
      </c>
      <c r="Y16" s="88" t="s">
        <v>168</v>
      </c>
      <c r="Z16" s="88">
        <v>0</v>
      </c>
      <c r="AA16" s="88" t="s">
        <v>168</v>
      </c>
    </row>
    <row r="17" spans="2:121" ht="15" customHeight="1" x14ac:dyDescent="0.25">
      <c r="B17" s="261">
        <v>9263</v>
      </c>
      <c r="C17" s="262" t="s">
        <v>169</v>
      </c>
      <c r="D17" s="263" t="s">
        <v>170</v>
      </c>
      <c r="E17" s="264" t="s">
        <v>10</v>
      </c>
      <c r="F17" s="264" t="s">
        <v>10</v>
      </c>
      <c r="G17" s="264" t="s">
        <v>10</v>
      </c>
      <c r="H17" s="264" t="s">
        <v>167</v>
      </c>
      <c r="I17" s="265">
        <v>13293723</v>
      </c>
      <c r="J17" s="266">
        <v>14686645</v>
      </c>
      <c r="K17" s="267">
        <v>0.93808178389100005</v>
      </c>
      <c r="L17" s="267">
        <v>0.99720889284100001</v>
      </c>
      <c r="M17" s="267">
        <v>0.96490226324700001</v>
      </c>
      <c r="N17" s="267">
        <v>3.50977367534E-2</v>
      </c>
      <c r="O17" s="267">
        <v>1.7052226699799999E-2</v>
      </c>
      <c r="P17" s="267">
        <v>1.8629169561900001E-4</v>
      </c>
      <c r="Q17" s="267">
        <v>0</v>
      </c>
      <c r="R17" s="267">
        <v>0</v>
      </c>
      <c r="S17" s="267">
        <v>0</v>
      </c>
      <c r="T17" s="267">
        <v>1.81598996912E-2</v>
      </c>
      <c r="U17" s="267">
        <v>0.55143491405699996</v>
      </c>
      <c r="V17" s="268">
        <v>0.55143491405699996</v>
      </c>
      <c r="W17" s="269" t="s">
        <v>168</v>
      </c>
      <c r="X17" s="268">
        <v>0</v>
      </c>
      <c r="Y17" s="267" t="s">
        <v>168</v>
      </c>
      <c r="Z17" s="267">
        <v>0</v>
      </c>
      <c r="AA17" s="267" t="s">
        <v>168</v>
      </c>
      <c r="CB17" s="10"/>
      <c r="DP17" s="15"/>
      <c r="DQ17" s="10"/>
    </row>
    <row r="18" spans="2:121" ht="15" customHeight="1" x14ac:dyDescent="0.25">
      <c r="B18" s="261">
        <v>6643</v>
      </c>
      <c r="C18" s="262" t="s">
        <v>171</v>
      </c>
      <c r="D18" s="263" t="s">
        <v>172</v>
      </c>
      <c r="E18" s="264" t="s">
        <v>10</v>
      </c>
      <c r="F18" s="264" t="s">
        <v>10</v>
      </c>
      <c r="G18" s="264" t="s">
        <v>10</v>
      </c>
      <c r="H18" s="264" t="s">
        <v>167</v>
      </c>
      <c r="I18" s="265">
        <v>12111430</v>
      </c>
      <c r="J18" s="266">
        <v>14967947</v>
      </c>
      <c r="K18" s="267">
        <v>0.85524882118800005</v>
      </c>
      <c r="L18" s="267">
        <v>0.92368853256899996</v>
      </c>
      <c r="M18" s="267">
        <v>0.946107973258</v>
      </c>
      <c r="N18" s="267">
        <v>5.3892026742199999E-2</v>
      </c>
      <c r="O18" s="267">
        <v>2.8705139054799999E-2</v>
      </c>
      <c r="P18" s="267">
        <v>1.4384070173399999E-4</v>
      </c>
      <c r="Q18" s="267">
        <v>0</v>
      </c>
      <c r="R18" s="267">
        <v>0</v>
      </c>
      <c r="S18" s="267">
        <v>0</v>
      </c>
      <c r="T18" s="267">
        <v>2.5764388396099999E-2</v>
      </c>
      <c r="U18" s="267">
        <v>0.51207272799299997</v>
      </c>
      <c r="V18" s="268">
        <v>0.51207272799299997</v>
      </c>
      <c r="W18" s="269" t="s">
        <v>168</v>
      </c>
      <c r="X18" s="268">
        <v>0</v>
      </c>
      <c r="Y18" s="267" t="s">
        <v>168</v>
      </c>
      <c r="Z18" s="267">
        <v>0</v>
      </c>
      <c r="AA18" s="267" t="s">
        <v>168</v>
      </c>
      <c r="CB18" s="10"/>
      <c r="DP18" s="15"/>
      <c r="DQ18" s="10"/>
    </row>
    <row r="19" spans="2:121" ht="15" customHeight="1" x14ac:dyDescent="0.25">
      <c r="B19" s="261">
        <v>7414</v>
      </c>
      <c r="C19" s="262" t="s">
        <v>165</v>
      </c>
      <c r="D19" s="263" t="s">
        <v>173</v>
      </c>
      <c r="E19" s="264" t="s">
        <v>10</v>
      </c>
      <c r="F19" s="264" t="s">
        <v>10</v>
      </c>
      <c r="G19" s="264" t="s">
        <v>10</v>
      </c>
      <c r="H19" s="264" t="s">
        <v>167</v>
      </c>
      <c r="I19" s="265">
        <v>2656790</v>
      </c>
      <c r="J19" s="266">
        <v>3118756</v>
      </c>
      <c r="K19" s="267">
        <v>0.90811023285600001</v>
      </c>
      <c r="L19" s="267">
        <v>0.99710685927300002</v>
      </c>
      <c r="M19" s="267">
        <v>0.93807434759200004</v>
      </c>
      <c r="N19" s="267">
        <v>6.19256524076E-2</v>
      </c>
      <c r="O19" s="267">
        <v>3.8928983222800001E-2</v>
      </c>
      <c r="P19" s="267">
        <v>2.1790739641099999E-3</v>
      </c>
      <c r="Q19" s="267">
        <v>0</v>
      </c>
      <c r="R19" s="267">
        <v>0</v>
      </c>
      <c r="S19" s="267">
        <v>0</v>
      </c>
      <c r="T19" s="267">
        <v>2.2592661946000001E-2</v>
      </c>
      <c r="U19" s="267">
        <v>0.59196511579800004</v>
      </c>
      <c r="V19" s="268">
        <v>0.59196511579800004</v>
      </c>
      <c r="W19" s="269" t="s">
        <v>168</v>
      </c>
      <c r="X19" s="268">
        <v>0</v>
      </c>
      <c r="Y19" s="267" t="s">
        <v>168</v>
      </c>
      <c r="Z19" s="267">
        <v>0</v>
      </c>
      <c r="AA19" s="267" t="s">
        <v>168</v>
      </c>
      <c r="CB19" s="10"/>
      <c r="DP19" s="15"/>
      <c r="DQ19" s="10"/>
    </row>
    <row r="20" spans="2:121" ht="15" customHeight="1" x14ac:dyDescent="0.25">
      <c r="B20" s="261">
        <v>6631</v>
      </c>
      <c r="C20" s="262" t="s">
        <v>174</v>
      </c>
      <c r="D20" s="263" t="s">
        <v>175</v>
      </c>
      <c r="E20" s="264" t="s">
        <v>10</v>
      </c>
      <c r="F20" s="264" t="s">
        <v>10</v>
      </c>
      <c r="G20" s="264" t="s">
        <v>10</v>
      </c>
      <c r="H20" s="264" t="s">
        <v>167</v>
      </c>
      <c r="I20" s="265">
        <v>2522435</v>
      </c>
      <c r="J20" s="266">
        <v>3559749</v>
      </c>
      <c r="K20" s="267">
        <v>0.72225971611100004</v>
      </c>
      <c r="L20" s="267">
        <v>0.88220967264799999</v>
      </c>
      <c r="M20" s="267">
        <v>0.98108630692800003</v>
      </c>
      <c r="N20" s="267">
        <v>1.8913693072200002E-2</v>
      </c>
      <c r="O20" s="267">
        <v>8.2087248286300003E-3</v>
      </c>
      <c r="P20" s="267">
        <v>2.74738471729E-4</v>
      </c>
      <c r="Q20" s="267">
        <v>0</v>
      </c>
      <c r="R20" s="267">
        <v>0</v>
      </c>
      <c r="S20" s="267">
        <v>0</v>
      </c>
      <c r="T20" s="267">
        <v>1.06785618874E-2</v>
      </c>
      <c r="U20" s="267">
        <v>0.64953705447300003</v>
      </c>
      <c r="V20" s="268">
        <v>0.64953705447300003</v>
      </c>
      <c r="W20" s="269" t="s">
        <v>168</v>
      </c>
      <c r="X20" s="268">
        <v>0</v>
      </c>
      <c r="Y20" s="267" t="s">
        <v>168</v>
      </c>
      <c r="Z20" s="267">
        <v>0</v>
      </c>
      <c r="AA20" s="267" t="s">
        <v>168</v>
      </c>
      <c r="CB20" s="10"/>
      <c r="DP20" s="15"/>
      <c r="DQ20" s="10"/>
    </row>
    <row r="21" spans="2:121" ht="15" customHeight="1" x14ac:dyDescent="0.25">
      <c r="B21" s="261">
        <v>8218</v>
      </c>
      <c r="C21" s="262" t="s">
        <v>176</v>
      </c>
      <c r="D21" s="263" t="s">
        <v>177</v>
      </c>
      <c r="E21" s="264" t="s">
        <v>10</v>
      </c>
      <c r="F21" s="264" t="s">
        <v>10</v>
      </c>
      <c r="G21" s="264" t="s">
        <v>10</v>
      </c>
      <c r="H21" s="264" t="s">
        <v>124</v>
      </c>
      <c r="I21" s="265">
        <v>2341086</v>
      </c>
      <c r="J21" s="266">
        <v>2626812</v>
      </c>
      <c r="K21" s="267">
        <v>0.93466451926600003</v>
      </c>
      <c r="L21" s="267">
        <v>0.99705384321400004</v>
      </c>
      <c r="M21" s="267">
        <v>0.95336628582500005</v>
      </c>
      <c r="N21" s="267">
        <v>4.66337141752E-2</v>
      </c>
      <c r="O21" s="267">
        <v>1.3050039363300001E-2</v>
      </c>
      <c r="P21" s="267">
        <v>5.5999439624900005E-4</v>
      </c>
      <c r="Q21" s="267">
        <v>0</v>
      </c>
      <c r="R21" s="267">
        <v>1.00665749966E-2</v>
      </c>
      <c r="S21" s="267">
        <v>0</v>
      </c>
      <c r="T21" s="267">
        <v>2.3487025337199999E-2</v>
      </c>
      <c r="U21" s="267">
        <v>0.53706655799900005</v>
      </c>
      <c r="V21" s="268">
        <v>0.53706655799900005</v>
      </c>
      <c r="W21" s="269" t="s">
        <v>168</v>
      </c>
      <c r="X21" s="268">
        <v>0</v>
      </c>
      <c r="Y21" s="267" t="s">
        <v>168</v>
      </c>
      <c r="Z21" s="267">
        <v>0</v>
      </c>
      <c r="AA21" s="267" t="s">
        <v>168</v>
      </c>
      <c r="CB21" s="10"/>
      <c r="DP21" s="15"/>
      <c r="DQ21" s="10"/>
    </row>
    <row r="22" spans="2:121" ht="15" customHeight="1" x14ac:dyDescent="0.25">
      <c r="B22" s="261">
        <v>6631</v>
      </c>
      <c r="C22" s="262" t="s">
        <v>174</v>
      </c>
      <c r="D22" s="263" t="s">
        <v>178</v>
      </c>
      <c r="E22" s="264" t="s">
        <v>10</v>
      </c>
      <c r="F22" s="264" t="s">
        <v>10</v>
      </c>
      <c r="G22" s="264" t="s">
        <v>10</v>
      </c>
      <c r="H22" s="264" t="s">
        <v>167</v>
      </c>
      <c r="I22" s="265">
        <v>2279370</v>
      </c>
      <c r="J22" s="266">
        <v>2954743</v>
      </c>
      <c r="K22" s="267">
        <v>0.79028882638800002</v>
      </c>
      <c r="L22" s="267">
        <v>0.94241597323399995</v>
      </c>
      <c r="M22" s="267">
        <v>0.97613362651199997</v>
      </c>
      <c r="N22" s="267">
        <v>2.3866373488300001E-2</v>
      </c>
      <c r="O22" s="267">
        <v>1.06212283099E-2</v>
      </c>
      <c r="P22" s="267">
        <v>2.32845970022E-4</v>
      </c>
      <c r="Q22" s="267">
        <v>0</v>
      </c>
      <c r="R22" s="267">
        <v>0</v>
      </c>
      <c r="S22" s="267">
        <v>0</v>
      </c>
      <c r="T22" s="267">
        <v>1.32874500422E-2</v>
      </c>
      <c r="U22" s="267">
        <v>0.67270386115500003</v>
      </c>
      <c r="V22" s="268">
        <v>0.67270386115500003</v>
      </c>
      <c r="W22" s="269" t="s">
        <v>168</v>
      </c>
      <c r="X22" s="268">
        <v>0</v>
      </c>
      <c r="Y22" s="267" t="s">
        <v>168</v>
      </c>
      <c r="Z22" s="267">
        <v>0</v>
      </c>
      <c r="AA22" s="267" t="s">
        <v>168</v>
      </c>
      <c r="CB22" s="10"/>
      <c r="DP22" s="15"/>
      <c r="DQ22" s="10"/>
    </row>
    <row r="23" spans="2:121" ht="15" customHeight="1" x14ac:dyDescent="0.25">
      <c r="B23" s="261">
        <v>9350</v>
      </c>
      <c r="C23" s="262" t="s">
        <v>179</v>
      </c>
      <c r="D23" s="263" t="s">
        <v>180</v>
      </c>
      <c r="E23" s="264" t="s">
        <v>10</v>
      </c>
      <c r="F23" s="264" t="s">
        <v>10</v>
      </c>
      <c r="G23" s="264" t="s">
        <v>10</v>
      </c>
      <c r="H23" s="264" t="s">
        <v>167</v>
      </c>
      <c r="I23" s="265">
        <v>2204225</v>
      </c>
      <c r="J23" s="266">
        <v>2540822</v>
      </c>
      <c r="K23" s="267">
        <v>0.95397538613900001</v>
      </c>
      <c r="L23" s="267">
        <v>0.99852409968099998</v>
      </c>
      <c r="M23" s="267">
        <v>0.90937814612800005</v>
      </c>
      <c r="N23" s="267">
        <v>9.0621853872500005E-2</v>
      </c>
      <c r="O23" s="267">
        <v>6.49112767443E-2</v>
      </c>
      <c r="P23" s="267">
        <v>4.7858527673300003E-4</v>
      </c>
      <c r="Q23" s="267">
        <v>0</v>
      </c>
      <c r="R23" s="267">
        <v>0</v>
      </c>
      <c r="S23" s="267">
        <v>0</v>
      </c>
      <c r="T23" s="267">
        <v>2.68641408174E-2</v>
      </c>
      <c r="U23" s="267">
        <v>0.58379067472699997</v>
      </c>
      <c r="V23" s="268">
        <v>0.58379067472699997</v>
      </c>
      <c r="W23" s="269" t="s">
        <v>168</v>
      </c>
      <c r="X23" s="268">
        <v>0</v>
      </c>
      <c r="Y23" s="267" t="s">
        <v>168</v>
      </c>
      <c r="Z23" s="267">
        <v>0</v>
      </c>
      <c r="AA23" s="267" t="s">
        <v>168</v>
      </c>
      <c r="CB23" s="10"/>
      <c r="DP23" s="15"/>
      <c r="DQ23" s="10"/>
    </row>
    <row r="24" spans="2:121" ht="15" customHeight="1" x14ac:dyDescent="0.25">
      <c r="B24" s="261">
        <v>6631</v>
      </c>
      <c r="C24" s="262" t="s">
        <v>174</v>
      </c>
      <c r="D24" s="263" t="s">
        <v>181</v>
      </c>
      <c r="E24" s="264" t="s">
        <v>10</v>
      </c>
      <c r="F24" s="264" t="s">
        <v>10</v>
      </c>
      <c r="G24" s="264" t="s">
        <v>10</v>
      </c>
      <c r="H24" s="264" t="s">
        <v>167</v>
      </c>
      <c r="I24" s="265">
        <v>2150854</v>
      </c>
      <c r="J24" s="266">
        <v>3342698</v>
      </c>
      <c r="K24" s="267">
        <v>0.65777986824500001</v>
      </c>
      <c r="L24" s="267">
        <v>0.95130251072600003</v>
      </c>
      <c r="M24" s="267">
        <v>0.97821250977499996</v>
      </c>
      <c r="N24" s="267">
        <v>2.1787490225000001E-2</v>
      </c>
      <c r="O24" s="267">
        <v>7.6776304649700004E-3</v>
      </c>
      <c r="P24" s="267">
        <v>3.22194825856E-4</v>
      </c>
      <c r="Q24" s="267">
        <v>0</v>
      </c>
      <c r="R24" s="267">
        <v>0</v>
      </c>
      <c r="S24" s="267">
        <v>0</v>
      </c>
      <c r="T24" s="267">
        <v>1.40395572678E-2</v>
      </c>
      <c r="U24" s="267">
        <v>0.64347231378799996</v>
      </c>
      <c r="V24" s="268">
        <v>0.64347231378799996</v>
      </c>
      <c r="W24" s="269" t="s">
        <v>168</v>
      </c>
      <c r="X24" s="268">
        <v>0</v>
      </c>
      <c r="Y24" s="267" t="s">
        <v>168</v>
      </c>
      <c r="Z24" s="267">
        <v>0</v>
      </c>
      <c r="AA24" s="267" t="s">
        <v>168</v>
      </c>
      <c r="CB24" s="10"/>
      <c r="DP24" s="15"/>
      <c r="DQ24" s="10"/>
    </row>
    <row r="25" spans="2:121" ht="15" customHeight="1" x14ac:dyDescent="0.25">
      <c r="B25" s="261">
        <v>6631</v>
      </c>
      <c r="C25" s="262" t="s">
        <v>174</v>
      </c>
      <c r="D25" s="263" t="s">
        <v>182</v>
      </c>
      <c r="E25" s="264" t="s">
        <v>10</v>
      </c>
      <c r="F25" s="264" t="s">
        <v>10</v>
      </c>
      <c r="G25" s="264" t="s">
        <v>10</v>
      </c>
      <c r="H25" s="264" t="s">
        <v>167</v>
      </c>
      <c r="I25" s="265">
        <v>1869643</v>
      </c>
      <c r="J25" s="266">
        <v>2902493</v>
      </c>
      <c r="K25" s="267">
        <v>0.65496943476199998</v>
      </c>
      <c r="L25" s="267">
        <v>0.93496935220900002</v>
      </c>
      <c r="M25" s="267">
        <v>0.98348213070599999</v>
      </c>
      <c r="N25" s="267">
        <v>1.6517869293699999E-2</v>
      </c>
      <c r="O25" s="267">
        <v>4.4606481393799999E-3</v>
      </c>
      <c r="P25" s="267">
        <v>2.4461729967999998E-4</v>
      </c>
      <c r="Q25" s="267">
        <v>0</v>
      </c>
      <c r="R25" s="267">
        <v>0</v>
      </c>
      <c r="S25" s="267">
        <v>0</v>
      </c>
      <c r="T25" s="267">
        <v>1.1992793781100001E-2</v>
      </c>
      <c r="U25" s="267">
        <v>0.70786722385</v>
      </c>
      <c r="V25" s="268">
        <v>0.70786722385</v>
      </c>
      <c r="W25" s="269" t="s">
        <v>168</v>
      </c>
      <c r="X25" s="268">
        <v>0</v>
      </c>
      <c r="Y25" s="267" t="s">
        <v>168</v>
      </c>
      <c r="Z25" s="267">
        <v>0</v>
      </c>
      <c r="AA25" s="267" t="s">
        <v>168</v>
      </c>
      <c r="CB25" s="10"/>
      <c r="DP25" s="15"/>
      <c r="DQ25" s="10"/>
    </row>
    <row r="26" spans="2:121" ht="15" customHeight="1" x14ac:dyDescent="0.25">
      <c r="B26" s="261">
        <v>9263</v>
      </c>
      <c r="C26" s="262" t="s">
        <v>169</v>
      </c>
      <c r="D26" s="263" t="s">
        <v>183</v>
      </c>
      <c r="E26" s="264" t="s">
        <v>10</v>
      </c>
      <c r="F26" s="264" t="s">
        <v>10</v>
      </c>
      <c r="G26" s="264" t="s">
        <v>10</v>
      </c>
      <c r="H26" s="264" t="s">
        <v>167</v>
      </c>
      <c r="I26" s="265">
        <v>1744988</v>
      </c>
      <c r="J26" s="266">
        <v>1900804</v>
      </c>
      <c r="K26" s="267">
        <v>0.946302777757</v>
      </c>
      <c r="L26" s="267">
        <v>0.99628999097199999</v>
      </c>
      <c r="M26" s="267">
        <v>0.97011896018699995</v>
      </c>
      <c r="N26" s="267">
        <v>2.9881039812599999E-2</v>
      </c>
      <c r="O26" s="267">
        <v>1.4342351973199999E-2</v>
      </c>
      <c r="P26" s="267">
        <v>2.9829482682100001E-4</v>
      </c>
      <c r="Q26" s="267">
        <v>0</v>
      </c>
      <c r="R26" s="267">
        <v>0</v>
      </c>
      <c r="S26" s="267">
        <v>0</v>
      </c>
      <c r="T26" s="267">
        <v>1.56055016719E-2</v>
      </c>
      <c r="U26" s="267">
        <v>0.55113903362100003</v>
      </c>
      <c r="V26" s="268">
        <v>0.55113903362100003</v>
      </c>
      <c r="W26" s="269" t="s">
        <v>168</v>
      </c>
      <c r="X26" s="268">
        <v>0</v>
      </c>
      <c r="Y26" s="267" t="s">
        <v>168</v>
      </c>
      <c r="Z26" s="267">
        <v>0</v>
      </c>
      <c r="AA26" s="267" t="s">
        <v>168</v>
      </c>
      <c r="CB26" s="10"/>
      <c r="DP26" s="15"/>
      <c r="DQ26" s="10"/>
    </row>
    <row r="27" spans="2:121" ht="15" customHeight="1" x14ac:dyDescent="0.25">
      <c r="B27" s="261">
        <v>6631</v>
      </c>
      <c r="C27" s="262" t="s">
        <v>174</v>
      </c>
      <c r="D27" s="263" t="s">
        <v>184</v>
      </c>
      <c r="E27" s="264" t="s">
        <v>10</v>
      </c>
      <c r="F27" s="264" t="s">
        <v>10</v>
      </c>
      <c r="G27" s="264" t="s">
        <v>10</v>
      </c>
      <c r="H27" s="264" t="s">
        <v>167</v>
      </c>
      <c r="I27" s="265">
        <v>1617897</v>
      </c>
      <c r="J27" s="266">
        <v>2338454</v>
      </c>
      <c r="K27" s="267">
        <v>0.70451506203699998</v>
      </c>
      <c r="L27" s="267">
        <v>0.93022313032500004</v>
      </c>
      <c r="M27" s="267">
        <v>0.98204583027900005</v>
      </c>
      <c r="N27" s="267">
        <v>1.7954169720699999E-2</v>
      </c>
      <c r="O27" s="267">
        <v>6.7873903014600001E-3</v>
      </c>
      <c r="P27" s="267">
        <v>2.6684296548099999E-4</v>
      </c>
      <c r="Q27" s="267">
        <v>0</v>
      </c>
      <c r="R27" s="267">
        <v>0</v>
      </c>
      <c r="S27" s="267">
        <v>0</v>
      </c>
      <c r="T27" s="267">
        <v>1.11625030896E-2</v>
      </c>
      <c r="U27" s="267">
        <v>0.71365482475099995</v>
      </c>
      <c r="V27" s="268">
        <v>0.71365482475099995</v>
      </c>
      <c r="W27" s="269" t="s">
        <v>168</v>
      </c>
      <c r="X27" s="268">
        <v>0</v>
      </c>
      <c r="Y27" s="267" t="s">
        <v>168</v>
      </c>
      <c r="Z27" s="267">
        <v>0</v>
      </c>
      <c r="AA27" s="267" t="s">
        <v>168</v>
      </c>
      <c r="CB27" s="10"/>
      <c r="DP27" s="15"/>
      <c r="DQ27" s="10"/>
    </row>
    <row r="28" spans="2:121" ht="15" customHeight="1" x14ac:dyDescent="0.25">
      <c r="B28" s="261">
        <v>7414</v>
      </c>
      <c r="C28" s="262" t="s">
        <v>165</v>
      </c>
      <c r="D28" s="263" t="s">
        <v>185</v>
      </c>
      <c r="E28" s="264" t="s">
        <v>10</v>
      </c>
      <c r="F28" s="264" t="s">
        <v>10</v>
      </c>
      <c r="G28" s="264" t="s">
        <v>10</v>
      </c>
      <c r="H28" s="264" t="s">
        <v>167</v>
      </c>
      <c r="I28" s="265">
        <v>1442861</v>
      </c>
      <c r="J28" s="266">
        <v>1591169</v>
      </c>
      <c r="K28" s="267">
        <v>0.94451070548600002</v>
      </c>
      <c r="L28" s="267">
        <v>0.99640830106699996</v>
      </c>
      <c r="M28" s="267">
        <v>0.96006646685599994</v>
      </c>
      <c r="N28" s="267">
        <v>3.9933533144500002E-2</v>
      </c>
      <c r="O28" s="267">
        <v>2.4856567718499999E-2</v>
      </c>
      <c r="P28" s="267">
        <v>3.7582431532999998E-4</v>
      </c>
      <c r="Q28" s="267">
        <v>0</v>
      </c>
      <c r="R28" s="267">
        <v>0</v>
      </c>
      <c r="S28" s="267">
        <v>0</v>
      </c>
      <c r="T28" s="267">
        <v>1.5229683333399999E-2</v>
      </c>
      <c r="U28" s="267">
        <v>0.62597713847699998</v>
      </c>
      <c r="V28" s="268">
        <v>0.62597713847699998</v>
      </c>
      <c r="W28" s="269" t="s">
        <v>168</v>
      </c>
      <c r="X28" s="268">
        <v>0</v>
      </c>
      <c r="Y28" s="267" t="s">
        <v>168</v>
      </c>
      <c r="Z28" s="267">
        <v>0</v>
      </c>
      <c r="AA28" s="267" t="s">
        <v>168</v>
      </c>
      <c r="CB28" s="10"/>
      <c r="DP28" s="15"/>
      <c r="DQ28" s="10"/>
    </row>
    <row r="29" spans="2:121" ht="15" customHeight="1" x14ac:dyDescent="0.25">
      <c r="B29" s="261">
        <v>8218</v>
      </c>
      <c r="C29" s="262" t="s">
        <v>176</v>
      </c>
      <c r="D29" s="263" t="s">
        <v>186</v>
      </c>
      <c r="E29" s="264" t="s">
        <v>10</v>
      </c>
      <c r="F29" s="264" t="s">
        <v>10</v>
      </c>
      <c r="G29" s="264" t="s">
        <v>10</v>
      </c>
      <c r="H29" s="264" t="s">
        <v>167</v>
      </c>
      <c r="I29" s="265">
        <v>1412650</v>
      </c>
      <c r="J29" s="266">
        <v>1589610</v>
      </c>
      <c r="K29" s="267">
        <v>0.94067172477899996</v>
      </c>
      <c r="L29" s="267">
        <v>0.99928221387600003</v>
      </c>
      <c r="M29" s="267">
        <v>0.94472606488400002</v>
      </c>
      <c r="N29" s="267">
        <v>5.5273935116199997E-2</v>
      </c>
      <c r="O29" s="267">
        <v>1.8664326469999999E-2</v>
      </c>
      <c r="P29" s="267">
        <v>5.2151156572999996E-4</v>
      </c>
      <c r="Q29" s="267">
        <v>0</v>
      </c>
      <c r="R29" s="267">
        <v>9.8414076408699994E-3</v>
      </c>
      <c r="S29" s="267">
        <v>0</v>
      </c>
      <c r="T29" s="267">
        <v>2.6889614433699999E-2</v>
      </c>
      <c r="U29" s="267">
        <v>0.61341379676499996</v>
      </c>
      <c r="V29" s="268">
        <v>0.61341379676499996</v>
      </c>
      <c r="W29" s="269" t="s">
        <v>168</v>
      </c>
      <c r="X29" s="268">
        <v>0</v>
      </c>
      <c r="Y29" s="267" t="s">
        <v>168</v>
      </c>
      <c r="Z29" s="267">
        <v>0</v>
      </c>
      <c r="AA29" s="267" t="s">
        <v>168</v>
      </c>
      <c r="CB29" s="10"/>
      <c r="DP29" s="15"/>
      <c r="DQ29" s="10"/>
    </row>
    <row r="30" spans="2:121" ht="15" customHeight="1" x14ac:dyDescent="0.25">
      <c r="B30" s="261">
        <v>8218</v>
      </c>
      <c r="C30" s="262" t="s">
        <v>176</v>
      </c>
      <c r="D30" s="263" t="s">
        <v>187</v>
      </c>
      <c r="E30" s="264" t="s">
        <v>10</v>
      </c>
      <c r="F30" s="264" t="s">
        <v>10</v>
      </c>
      <c r="G30" s="264" t="s">
        <v>10</v>
      </c>
      <c r="H30" s="264" t="s">
        <v>167</v>
      </c>
      <c r="I30" s="265">
        <v>1092802</v>
      </c>
      <c r="J30" s="266">
        <v>1178474</v>
      </c>
      <c r="K30" s="267">
        <v>0.97390391450199998</v>
      </c>
      <c r="L30" s="267">
        <v>0.99937716063299997</v>
      </c>
      <c r="M30" s="267">
        <v>0.95214998379299998</v>
      </c>
      <c r="N30" s="267">
        <v>4.7850016207400002E-2</v>
      </c>
      <c r="O30" s="267">
        <v>2.1561782440699999E-2</v>
      </c>
      <c r="P30" s="267">
        <v>1.9941042398900001E-4</v>
      </c>
      <c r="Q30" s="267">
        <v>0</v>
      </c>
      <c r="R30" s="267">
        <v>8.6204702012900002E-3</v>
      </c>
      <c r="S30" s="267">
        <v>0</v>
      </c>
      <c r="T30" s="267">
        <v>1.7944392494000001E-2</v>
      </c>
      <c r="U30" s="267">
        <v>0.57141458379499999</v>
      </c>
      <c r="V30" s="268">
        <v>0.57141458379499999</v>
      </c>
      <c r="W30" s="269" t="s">
        <v>168</v>
      </c>
      <c r="X30" s="268">
        <v>0</v>
      </c>
      <c r="Y30" s="267" t="s">
        <v>168</v>
      </c>
      <c r="Z30" s="267">
        <v>0</v>
      </c>
      <c r="AA30" s="267" t="s">
        <v>168</v>
      </c>
      <c r="CB30" s="10"/>
      <c r="DP30" s="15"/>
      <c r="DQ30" s="10"/>
    </row>
    <row r="31" spans="2:121" ht="15" customHeight="1" x14ac:dyDescent="0.25">
      <c r="B31" s="261">
        <v>6631</v>
      </c>
      <c r="C31" s="262" t="s">
        <v>174</v>
      </c>
      <c r="D31" s="263" t="s">
        <v>188</v>
      </c>
      <c r="E31" s="264" t="s">
        <v>10</v>
      </c>
      <c r="F31" s="264" t="s">
        <v>10</v>
      </c>
      <c r="G31" s="264" t="s">
        <v>10</v>
      </c>
      <c r="H31" s="264" t="s">
        <v>167</v>
      </c>
      <c r="I31" s="265">
        <v>879128</v>
      </c>
      <c r="J31" s="266">
        <v>1374325</v>
      </c>
      <c r="K31" s="267">
        <v>0.64699947084800002</v>
      </c>
      <c r="L31" s="267">
        <v>0.90398632055700001</v>
      </c>
      <c r="M31" s="267">
        <v>0.98868680988799995</v>
      </c>
      <c r="N31" s="267">
        <v>1.1313190111499999E-2</v>
      </c>
      <c r="O31" s="267">
        <v>7.3119531406300002E-3</v>
      </c>
      <c r="P31" s="267">
        <v>2.7140596292700003E-4</v>
      </c>
      <c r="Q31" s="267">
        <v>0</v>
      </c>
      <c r="R31" s="267">
        <v>0</v>
      </c>
      <c r="S31" s="267">
        <v>0</v>
      </c>
      <c r="T31" s="267">
        <v>3.9961435613800004E-3</v>
      </c>
      <c r="U31" s="267">
        <v>0.60161318943300002</v>
      </c>
      <c r="V31" s="268">
        <v>0.60161318943300002</v>
      </c>
      <c r="W31" s="269" t="s">
        <v>168</v>
      </c>
      <c r="X31" s="268">
        <v>0</v>
      </c>
      <c r="Y31" s="267" t="s">
        <v>168</v>
      </c>
      <c r="Z31" s="267">
        <v>0</v>
      </c>
      <c r="AA31" s="267" t="s">
        <v>168</v>
      </c>
    </row>
    <row r="32" spans="2:121" ht="15" customHeight="1" x14ac:dyDescent="0.25">
      <c r="B32" s="261">
        <v>8218</v>
      </c>
      <c r="C32" s="262" t="s">
        <v>176</v>
      </c>
      <c r="D32" s="263" t="s">
        <v>189</v>
      </c>
      <c r="E32" s="264" t="s">
        <v>10</v>
      </c>
      <c r="F32" s="264" t="s">
        <v>10</v>
      </c>
      <c r="G32" s="264" t="s">
        <v>10</v>
      </c>
      <c r="H32" s="264" t="s">
        <v>167</v>
      </c>
      <c r="I32" s="265">
        <v>598696</v>
      </c>
      <c r="J32" s="266">
        <v>662533</v>
      </c>
      <c r="K32" s="267">
        <v>0.93013312784400004</v>
      </c>
      <c r="L32" s="267">
        <v>0.99510967755599999</v>
      </c>
      <c r="M32" s="267">
        <v>0.97152443727299997</v>
      </c>
      <c r="N32" s="267">
        <v>2.8475562726700002E-2</v>
      </c>
      <c r="O32" s="267">
        <v>1.0980585118E-2</v>
      </c>
      <c r="P32" s="267">
        <v>5.44878519259E-4</v>
      </c>
      <c r="Q32" s="267">
        <v>0</v>
      </c>
      <c r="R32" s="267">
        <v>0</v>
      </c>
      <c r="S32" s="267">
        <v>0</v>
      </c>
      <c r="T32" s="267">
        <v>1.7620254387299999E-2</v>
      </c>
      <c r="U32" s="267">
        <v>0.54302684500999998</v>
      </c>
      <c r="V32" s="268">
        <v>0.54302684500999998</v>
      </c>
      <c r="W32" s="269" t="s">
        <v>168</v>
      </c>
      <c r="X32" s="268">
        <v>0</v>
      </c>
      <c r="Y32" s="267" t="s">
        <v>168</v>
      </c>
      <c r="Z32" s="267">
        <v>0</v>
      </c>
      <c r="AA32" s="267" t="s">
        <v>168</v>
      </c>
    </row>
    <row r="33" spans="2:27" ht="15" customHeight="1" x14ac:dyDescent="0.25">
      <c r="B33" s="261">
        <v>6631</v>
      </c>
      <c r="C33" s="262" t="s">
        <v>174</v>
      </c>
      <c r="D33" s="263" t="s">
        <v>190</v>
      </c>
      <c r="E33" s="264" t="s">
        <v>10</v>
      </c>
      <c r="F33" s="264" t="s">
        <v>10</v>
      </c>
      <c r="G33" s="264" t="s">
        <v>10</v>
      </c>
      <c r="H33" s="264" t="s">
        <v>167</v>
      </c>
      <c r="I33" s="265">
        <v>540563</v>
      </c>
      <c r="J33" s="266">
        <v>965721</v>
      </c>
      <c r="K33" s="267">
        <v>0.56448119729199997</v>
      </c>
      <c r="L33" s="267">
        <v>0.93375001682699998</v>
      </c>
      <c r="M33" s="267">
        <v>0.99161973282100002</v>
      </c>
      <c r="N33" s="267">
        <v>8.3802671786199993E-3</v>
      </c>
      <c r="O33" s="267">
        <v>4.3728985907900003E-3</v>
      </c>
      <c r="P33" s="267">
        <v>3.7174297752699998E-4</v>
      </c>
      <c r="Q33" s="267">
        <v>0</v>
      </c>
      <c r="R33" s="267">
        <v>0</v>
      </c>
      <c r="S33" s="267">
        <v>0</v>
      </c>
      <c r="T33" s="267">
        <v>3.9783747065700002E-3</v>
      </c>
      <c r="U33" s="267">
        <v>0.63059439880299994</v>
      </c>
      <c r="V33" s="268">
        <v>0.63059439880299994</v>
      </c>
      <c r="W33" s="269" t="s">
        <v>168</v>
      </c>
      <c r="X33" s="268">
        <v>0</v>
      </c>
      <c r="Y33" s="267" t="s">
        <v>168</v>
      </c>
      <c r="Z33" s="267">
        <v>0</v>
      </c>
      <c r="AA33" s="267" t="s">
        <v>168</v>
      </c>
    </row>
    <row r="34" spans="2:27" ht="15" customHeight="1" x14ac:dyDescent="0.25">
      <c r="B34" s="261">
        <v>9263</v>
      </c>
      <c r="C34" s="262" t="s">
        <v>169</v>
      </c>
      <c r="D34" s="263" t="s">
        <v>191</v>
      </c>
      <c r="E34" s="264" t="s">
        <v>10</v>
      </c>
      <c r="F34" s="264" t="s">
        <v>10</v>
      </c>
      <c r="G34" s="264" t="s">
        <v>10</v>
      </c>
      <c r="H34" s="264" t="s">
        <v>167</v>
      </c>
      <c r="I34" s="265">
        <v>416692</v>
      </c>
      <c r="J34" s="266">
        <v>776045</v>
      </c>
      <c r="K34" s="267">
        <v>0.555529336165</v>
      </c>
      <c r="L34" s="267">
        <v>0.921398887951</v>
      </c>
      <c r="M34" s="267">
        <v>0.96654317726399996</v>
      </c>
      <c r="N34" s="267">
        <v>3.3456822735800001E-2</v>
      </c>
      <c r="O34" s="267">
        <v>4.7922478722199997E-3</v>
      </c>
      <c r="P34" s="267">
        <v>3.2343485236000001E-4</v>
      </c>
      <c r="Q34" s="267">
        <v>0</v>
      </c>
      <c r="R34" s="267">
        <v>1.36203441811E-3</v>
      </c>
      <c r="S34" s="267">
        <v>0</v>
      </c>
      <c r="T34" s="267">
        <v>2.7216205245799999E-2</v>
      </c>
      <c r="U34" s="267">
        <v>0.53876724295199996</v>
      </c>
      <c r="V34" s="268">
        <v>0.53876724295199996</v>
      </c>
      <c r="W34" s="269" t="s">
        <v>168</v>
      </c>
      <c r="X34" s="268">
        <v>0</v>
      </c>
      <c r="Y34" s="267" t="s">
        <v>168</v>
      </c>
      <c r="Z34" s="267">
        <v>0</v>
      </c>
      <c r="AA34" s="267" t="s">
        <v>168</v>
      </c>
    </row>
    <row r="35" spans="2:27" ht="15" customHeight="1" x14ac:dyDescent="0.25">
      <c r="B35" s="261">
        <v>8218</v>
      </c>
      <c r="C35" s="262" t="s">
        <v>176</v>
      </c>
      <c r="D35" s="263" t="s">
        <v>192</v>
      </c>
      <c r="E35" s="264" t="s">
        <v>10</v>
      </c>
      <c r="F35" s="264" t="s">
        <v>10</v>
      </c>
      <c r="G35" s="264" t="s">
        <v>10</v>
      </c>
      <c r="H35" s="264" t="s">
        <v>167</v>
      </c>
      <c r="I35" s="265">
        <v>394483</v>
      </c>
      <c r="J35" s="266">
        <v>826845</v>
      </c>
      <c r="K35" s="267">
        <v>0.479608175453</v>
      </c>
      <c r="L35" s="267">
        <v>0.87326040551700002</v>
      </c>
      <c r="M35" s="267">
        <v>0.99475838881500001</v>
      </c>
      <c r="N35" s="267">
        <v>5.2416111846799998E-3</v>
      </c>
      <c r="O35" s="267">
        <v>9.6753321360099993E-6</v>
      </c>
      <c r="P35" s="267">
        <v>1.0642865349599999E-4</v>
      </c>
      <c r="Q35" s="267">
        <v>0</v>
      </c>
      <c r="R35" s="267">
        <v>0</v>
      </c>
      <c r="S35" s="267">
        <v>0</v>
      </c>
      <c r="T35" s="267">
        <v>5.1569520284899997E-3</v>
      </c>
      <c r="U35" s="267">
        <v>0.60159499902400004</v>
      </c>
      <c r="V35" s="268">
        <v>0.60159499902400004</v>
      </c>
      <c r="W35" s="269" t="s">
        <v>168</v>
      </c>
      <c r="X35" s="268">
        <v>0</v>
      </c>
      <c r="Y35" s="267" t="s">
        <v>168</v>
      </c>
      <c r="Z35" s="267">
        <v>0</v>
      </c>
      <c r="AA35" s="267" t="s">
        <v>168</v>
      </c>
    </row>
    <row r="36" spans="2:27" ht="15" customHeight="1" x14ac:dyDescent="0.25">
      <c r="B36" s="261">
        <v>8218</v>
      </c>
      <c r="C36" s="262" t="s">
        <v>176</v>
      </c>
      <c r="D36" s="263" t="s">
        <v>193</v>
      </c>
      <c r="E36" s="264" t="s">
        <v>10</v>
      </c>
      <c r="F36" s="264" t="s">
        <v>10</v>
      </c>
      <c r="G36" s="264" t="s">
        <v>10</v>
      </c>
      <c r="H36" s="264" t="s">
        <v>167</v>
      </c>
      <c r="I36" s="265">
        <v>331990</v>
      </c>
      <c r="J36" s="266">
        <v>365017</v>
      </c>
      <c r="K36" s="267">
        <v>0.95021523595799995</v>
      </c>
      <c r="L36" s="267">
        <v>0.99787955081500002</v>
      </c>
      <c r="M36" s="267">
        <v>0.95717185774900004</v>
      </c>
      <c r="N36" s="267">
        <v>4.2828142250900002E-2</v>
      </c>
      <c r="O36" s="267">
        <v>1.7958067706399999E-2</v>
      </c>
      <c r="P36" s="267">
        <v>6.0271165452600005E-4</v>
      </c>
      <c r="Q36" s="267">
        <v>0</v>
      </c>
      <c r="R36" s="267">
        <v>6.4736710892900002E-3</v>
      </c>
      <c r="S36" s="267">
        <v>0</v>
      </c>
      <c r="T36" s="267">
        <v>1.8229287951000001E-2</v>
      </c>
      <c r="U36" s="267">
        <v>0.58951474441999996</v>
      </c>
      <c r="V36" s="268">
        <v>0.58951474441999996</v>
      </c>
      <c r="W36" s="269" t="s">
        <v>168</v>
      </c>
      <c r="X36" s="268">
        <v>0</v>
      </c>
      <c r="Y36" s="267" t="s">
        <v>168</v>
      </c>
      <c r="Z36" s="267">
        <v>0</v>
      </c>
      <c r="AA36" s="267" t="s">
        <v>168</v>
      </c>
    </row>
    <row r="37" spans="2:27" ht="15" customHeight="1" x14ac:dyDescent="0.25">
      <c r="B37" s="261">
        <v>8218</v>
      </c>
      <c r="C37" s="262" t="s">
        <v>176</v>
      </c>
      <c r="D37" s="263" t="s">
        <v>194</v>
      </c>
      <c r="E37" s="264" t="s">
        <v>10</v>
      </c>
      <c r="F37" s="264" t="s">
        <v>10</v>
      </c>
      <c r="G37" s="264" t="s">
        <v>10</v>
      </c>
      <c r="H37" s="264" t="s">
        <v>167</v>
      </c>
      <c r="I37" s="265">
        <v>274191</v>
      </c>
      <c r="J37" s="266">
        <v>304705</v>
      </c>
      <c r="K37" s="267">
        <v>0.93278743179099999</v>
      </c>
      <c r="L37" s="267">
        <v>0.99587141661599998</v>
      </c>
      <c r="M37" s="267">
        <v>0.96469700201800002</v>
      </c>
      <c r="N37" s="267">
        <v>3.5302997981700002E-2</v>
      </c>
      <c r="O37" s="267">
        <v>1.62156840223E-2</v>
      </c>
      <c r="P37" s="267">
        <v>6.9575491048699996E-4</v>
      </c>
      <c r="Q37" s="267">
        <v>0</v>
      </c>
      <c r="R37" s="267">
        <v>0</v>
      </c>
      <c r="S37" s="267">
        <v>0</v>
      </c>
      <c r="T37" s="267">
        <v>1.89757306247E-2</v>
      </c>
      <c r="U37" s="267">
        <v>0.57305673782099997</v>
      </c>
      <c r="V37" s="268">
        <v>0.57305673782099997</v>
      </c>
      <c r="W37" s="269" t="s">
        <v>168</v>
      </c>
      <c r="X37" s="268">
        <v>0</v>
      </c>
      <c r="Y37" s="267" t="s">
        <v>168</v>
      </c>
      <c r="Z37" s="267">
        <v>0</v>
      </c>
      <c r="AA37" s="267" t="s">
        <v>168</v>
      </c>
    </row>
    <row r="38" spans="2:27" ht="15" customHeight="1" x14ac:dyDescent="0.25">
      <c r="B38" s="261">
        <v>8218</v>
      </c>
      <c r="C38" s="262" t="s">
        <v>176</v>
      </c>
      <c r="D38" s="263" t="s">
        <v>195</v>
      </c>
      <c r="E38" s="264" t="s">
        <v>10</v>
      </c>
      <c r="F38" s="264" t="s">
        <v>10</v>
      </c>
      <c r="G38" s="264" t="s">
        <v>10</v>
      </c>
      <c r="H38" s="264" t="s">
        <v>167</v>
      </c>
      <c r="I38" s="265">
        <v>167594</v>
      </c>
      <c r="J38" s="266">
        <v>185566</v>
      </c>
      <c r="K38" s="267">
        <v>0.93688123654900002</v>
      </c>
      <c r="L38" s="267">
        <v>0.99939105224000002</v>
      </c>
      <c r="M38" s="267">
        <v>0.96399663731499996</v>
      </c>
      <c r="N38" s="267">
        <v>3.6003362684999998E-2</v>
      </c>
      <c r="O38" s="267">
        <v>1.3429184225600001E-2</v>
      </c>
      <c r="P38" s="267">
        <v>4.31113458284E-4</v>
      </c>
      <c r="Q38" s="267">
        <v>0</v>
      </c>
      <c r="R38" s="267">
        <v>3.9231324703899997E-3</v>
      </c>
      <c r="S38" s="267">
        <v>0</v>
      </c>
      <c r="T38" s="267">
        <v>1.8462433851E-2</v>
      </c>
      <c r="U38" s="267">
        <v>0.66715395539199995</v>
      </c>
      <c r="V38" s="268">
        <v>0.66715395539199995</v>
      </c>
      <c r="W38" s="269" t="s">
        <v>168</v>
      </c>
      <c r="X38" s="268">
        <v>0</v>
      </c>
      <c r="Y38" s="267" t="s">
        <v>168</v>
      </c>
      <c r="Z38" s="267">
        <v>0</v>
      </c>
      <c r="AA38" s="267" t="s">
        <v>168</v>
      </c>
    </row>
    <row r="39" spans="2:27" ht="15" customHeight="1" x14ac:dyDescent="0.25">
      <c r="B39" s="261">
        <v>9263</v>
      </c>
      <c r="C39" s="262" t="s">
        <v>169</v>
      </c>
      <c r="D39" s="263" t="s">
        <v>196</v>
      </c>
      <c r="E39" s="264" t="s">
        <v>10</v>
      </c>
      <c r="F39" s="264" t="s">
        <v>10</v>
      </c>
      <c r="G39" s="264" t="s">
        <v>10</v>
      </c>
      <c r="H39" s="264" t="s">
        <v>167</v>
      </c>
      <c r="I39" s="265">
        <v>90789</v>
      </c>
      <c r="J39" s="266">
        <v>98388</v>
      </c>
      <c r="K39" s="267">
        <v>0.94142350525700003</v>
      </c>
      <c r="L39" s="267">
        <v>0.90930804569699997</v>
      </c>
      <c r="M39" s="267">
        <v>0.98018050981799998</v>
      </c>
      <c r="N39" s="267">
        <v>1.9819490181700001E-2</v>
      </c>
      <c r="O39" s="267">
        <v>0</v>
      </c>
      <c r="P39" s="267">
        <v>2.0327682237699999E-5</v>
      </c>
      <c r="Q39" s="267">
        <v>0</v>
      </c>
      <c r="R39" s="267">
        <v>0</v>
      </c>
      <c r="S39" s="267">
        <v>0</v>
      </c>
      <c r="T39" s="267">
        <v>1.9799162499499999E-2</v>
      </c>
      <c r="U39" s="267">
        <v>0.37460485301099999</v>
      </c>
      <c r="V39" s="268">
        <v>0.37460485301099999</v>
      </c>
      <c r="W39" s="269" t="s">
        <v>168</v>
      </c>
      <c r="X39" s="268">
        <v>0</v>
      </c>
      <c r="Y39" s="267" t="s">
        <v>168</v>
      </c>
      <c r="Z39" s="267">
        <v>0</v>
      </c>
      <c r="AA39" s="267" t="s">
        <v>168</v>
      </c>
    </row>
    <row r="40" spans="2:27" ht="15" customHeight="1" x14ac:dyDescent="0.25">
      <c r="B40" s="261">
        <v>8218</v>
      </c>
      <c r="C40" s="262" t="s">
        <v>176</v>
      </c>
      <c r="D40" s="263" t="s">
        <v>197</v>
      </c>
      <c r="E40" s="264" t="s">
        <v>10</v>
      </c>
      <c r="F40" s="264" t="s">
        <v>10</v>
      </c>
      <c r="G40" s="264" t="s">
        <v>10</v>
      </c>
      <c r="H40" s="264" t="s">
        <v>124</v>
      </c>
      <c r="I40" s="265">
        <v>80240</v>
      </c>
      <c r="J40" s="266">
        <v>88892</v>
      </c>
      <c r="K40" s="267">
        <v>0.93499108589000002</v>
      </c>
      <c r="L40" s="267">
        <v>0.99506142284999999</v>
      </c>
      <c r="M40" s="267">
        <v>0.96542995995100001</v>
      </c>
      <c r="N40" s="267">
        <v>3.4570040048600002E-2</v>
      </c>
      <c r="O40" s="267">
        <v>1.3769518066900001E-2</v>
      </c>
      <c r="P40" s="267">
        <v>8.3247086351999995E-4</v>
      </c>
      <c r="Q40" s="267">
        <v>0</v>
      </c>
      <c r="R40" s="267">
        <v>4.9610763623300002E-3</v>
      </c>
      <c r="S40" s="267">
        <v>0</v>
      </c>
      <c r="T40" s="267">
        <v>1.5884444044499998E-2</v>
      </c>
      <c r="U40" s="267">
        <v>0.63929461615200001</v>
      </c>
      <c r="V40" s="268">
        <v>0.63929461615200001</v>
      </c>
      <c r="W40" s="269" t="s">
        <v>168</v>
      </c>
      <c r="X40" s="268">
        <v>0</v>
      </c>
      <c r="Y40" s="267" t="s">
        <v>168</v>
      </c>
      <c r="Z40" s="267">
        <v>0</v>
      </c>
      <c r="AA40" s="267" t="s">
        <v>168</v>
      </c>
    </row>
    <row r="41" spans="2:27" ht="15" customHeight="1" x14ac:dyDescent="0.25">
      <c r="B41" s="261">
        <v>8218</v>
      </c>
      <c r="C41" s="262" t="s">
        <v>176</v>
      </c>
      <c r="D41" s="263" t="s">
        <v>198</v>
      </c>
      <c r="E41" s="264" t="s">
        <v>10</v>
      </c>
      <c r="F41" s="264" t="s">
        <v>10</v>
      </c>
      <c r="G41" s="264" t="s">
        <v>10</v>
      </c>
      <c r="H41" s="264" t="s">
        <v>167</v>
      </c>
      <c r="I41" s="265">
        <v>50869</v>
      </c>
      <c r="J41" s="266">
        <v>67040</v>
      </c>
      <c r="K41" s="267">
        <v>0.78520931094099999</v>
      </c>
      <c r="L41" s="267">
        <v>0.95320704057299999</v>
      </c>
      <c r="M41" s="267">
        <v>0.96634844868699998</v>
      </c>
      <c r="N41" s="267">
        <v>3.3651551312600003E-2</v>
      </c>
      <c r="O41" s="267">
        <v>1.6825775656300002E-2</v>
      </c>
      <c r="P41" s="267">
        <v>1.26789976134E-3</v>
      </c>
      <c r="Q41" s="267">
        <v>0</v>
      </c>
      <c r="R41" s="267">
        <v>0</v>
      </c>
      <c r="S41" s="267">
        <v>0</v>
      </c>
      <c r="T41" s="267">
        <v>1.6408114558500001E-2</v>
      </c>
      <c r="U41" s="267">
        <v>0.549902691226</v>
      </c>
      <c r="V41" s="268">
        <v>0.549902691226</v>
      </c>
      <c r="W41" s="269" t="s">
        <v>168</v>
      </c>
      <c r="X41" s="268">
        <v>0</v>
      </c>
      <c r="Y41" s="267" t="s">
        <v>168</v>
      </c>
      <c r="Z41" s="267">
        <v>0</v>
      </c>
      <c r="AA41" s="267" t="s">
        <v>168</v>
      </c>
    </row>
    <row r="42" spans="2:27" ht="15" customHeight="1" x14ac:dyDescent="0.25">
      <c r="B42" s="261">
        <v>8218</v>
      </c>
      <c r="C42" s="262" t="s">
        <v>176</v>
      </c>
      <c r="D42" s="263" t="s">
        <v>199</v>
      </c>
      <c r="E42" s="264" t="s">
        <v>10</v>
      </c>
      <c r="F42" s="264" t="s">
        <v>10</v>
      </c>
      <c r="G42" s="264" t="s">
        <v>10</v>
      </c>
      <c r="H42" s="264" t="s">
        <v>167</v>
      </c>
      <c r="I42" s="265">
        <v>50340</v>
      </c>
      <c r="J42" s="266">
        <v>60867</v>
      </c>
      <c r="K42" s="267">
        <v>0.91361161524500001</v>
      </c>
      <c r="L42" s="267">
        <v>0.99942497576699996</v>
      </c>
      <c r="M42" s="267">
        <v>0.90525243563799995</v>
      </c>
      <c r="N42" s="267">
        <v>9.4747564361600006E-2</v>
      </c>
      <c r="O42" s="267">
        <v>5.1045722641199998E-2</v>
      </c>
      <c r="P42" s="267">
        <v>3.7787306750799998E-4</v>
      </c>
      <c r="Q42" s="267">
        <v>0</v>
      </c>
      <c r="R42" s="267">
        <v>0</v>
      </c>
      <c r="S42" s="267">
        <v>0</v>
      </c>
      <c r="T42" s="267">
        <v>4.5525490002799998E-2</v>
      </c>
      <c r="U42" s="267">
        <v>0.548947159317</v>
      </c>
      <c r="V42" s="268">
        <v>0.548947159317</v>
      </c>
      <c r="W42" s="269" t="s">
        <v>168</v>
      </c>
      <c r="X42" s="268">
        <v>0</v>
      </c>
      <c r="Y42" s="267" t="s">
        <v>168</v>
      </c>
      <c r="Z42" s="267">
        <v>0</v>
      </c>
      <c r="AA42" s="267" t="s">
        <v>168</v>
      </c>
    </row>
  </sheetData>
  <sheetProtection formatCells="0" insertColumns="0" insertRows="0" insertHyperlinks="0" deleteColumns="0" deleteRows="0" selectLockedCells="1" sort="0" autoFilter="0" pivotTables="0"/>
  <mergeCells count="9">
    <mergeCell ref="G6:H6"/>
    <mergeCell ref="A11:D11"/>
    <mergeCell ref="A10:D10"/>
    <mergeCell ref="G12:H12"/>
    <mergeCell ref="G13:H13"/>
    <mergeCell ref="G7:H7"/>
    <mergeCell ref="G8:H8"/>
    <mergeCell ref="A12:D12"/>
    <mergeCell ref="B9:D9"/>
  </mergeCells>
  <conditionalFormatting sqref="K16:AA42">
    <cfRule type="cellIs" dxfId="491" priority="24" operator="equal">
      <formula>""</formula>
    </cfRule>
  </conditionalFormatting>
  <conditionalFormatting sqref="A1:XFD5 A6:F9 I6:XFD6 I8:XFD9 I7:J7 AB7:XFD7 A10:XFD1048576">
    <cfRule type="expression" dxfId="490" priority="21">
      <formula>ISERROR(A1)</formula>
    </cfRule>
  </conditionalFormatting>
  <conditionalFormatting sqref="K16:AA42 K9:AA11">
    <cfRule type="expression" dxfId="489" priority="55">
      <formula>IF(K$7="N/A",0,IF(K$7="Above",K9&lt;=(1-$J$4)*K$8,K9&gt;=(1+$J$4)*K$8))</formula>
    </cfRule>
    <cfRule type="expression" dxfId="488" priority="56">
      <formula>IF(OR(K$7="N/A",K9=0),0,IF(K$7="Above",K9&gt;=(1+$J$3)*K$8,K9&lt;=(1-$J$3)*K$8))</formula>
    </cfRule>
  </conditionalFormatting>
  <conditionalFormatting sqref="G6:H8 G9">
    <cfRule type="expression" dxfId="487" priority="3">
      <formula>ISERROR(G6)</formula>
    </cfRule>
  </conditionalFormatting>
  <conditionalFormatting sqref="H9">
    <cfRule type="expression" dxfId="486" priority="2">
      <formula>ISERROR(H9)</formula>
    </cfRule>
  </conditionalFormatting>
  <conditionalFormatting sqref="K7:AA7">
    <cfRule type="expression" dxfId="485" priority="1">
      <formula>ISERROR(K7)</formula>
    </cfRule>
  </conditionalFormatting>
  <dataValidations disablePrompts="1" count="7">
    <dataValidation allowBlank="1" showInputMessage="1" showErrorMessage="1" prompt="Cell will highlight red if performance deviates by more than this percentage of the client goal." sqref="J4" xr:uid="{00000000-0002-0000-0100-000000000000}"/>
    <dataValidation allowBlank="1" showInputMessage="1" showErrorMessage="1" prompt="Cell will highlight yellow if performance deviates by more than this percentage of the client goal." sqref="J3" xr:uid="{00000000-0002-0000-0100-000001000000}"/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100-000002000000}">
      <formula1>BMRK_List</formula1>
    </dataValidation>
    <dataValidation allowBlank="1" showInputMessage="1" showErrorMessage="1" errorTitle="Invalid Entry" error="Please select/enter a value from 1 to 5 from the dropdown." sqref="K10:AA11 J11 A13:D13 J9 AB12:XFD13 G9:G11 H9" xr:uid="{00000000-0002-0000-0100-000004000000}"/>
    <dataValidation type="list" allowBlank="1" showInputMessage="1" showErrorMessage="1" errorTitle="Invalid Entry" error="Please select/enter a value from 1 to 5 from the dropdown." sqref="K13:AA13" xr:uid="{00000000-0002-0000-0100-000005000000}">
      <formula1>"0,1,2,3,4,5"</formula1>
    </dataValidation>
    <dataValidation type="list" allowBlank="1" showInputMessage="1" showErrorMessage="1" errorTitle="Invalid Entry" error="Please select/enter a value from 1 to 5 from the dropdown." sqref="J10" xr:uid="{00000000-0002-0000-0100-000006000000}">
      <formula1>DeviceDropdown</formula1>
    </dataValidation>
    <dataValidation type="list" allowBlank="1" showInputMessage="1" showErrorMessage="1" sqref="B15" xr:uid="{00000000-0002-0000-0100-000007000000}">
      <formula1>"Brand, Region (Team), Region (Campaign)"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5" operator="containsText" id="{6DC81B86-E415-4086-8C80-6F1077C5E633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K16:AA42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Q35"/>
  <sheetViews>
    <sheetView showGridLines="0" tabSelected="1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E18" sqref="B17:AA30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4" width="55.7265625" style="50" hidden="1" customWidth="1"/>
    <col min="5" max="5" width="60.7265625" style="50" customWidth="1"/>
    <col min="6" max="6" width="16.26953125" style="50" hidden="1" customWidth="1"/>
    <col min="7" max="7" width="18.54296875" style="50" hidden="1" customWidth="1"/>
    <col min="8" max="8" width="21.7265625" style="50" customWidth="1"/>
    <col min="9" max="9" width="24.453125" style="10" hidden="1" customWidth="1"/>
    <col min="10" max="10" width="24.453125" style="14" customWidth="1"/>
    <col min="11" max="46" width="23.453125" style="14" customWidth="1"/>
    <col min="47" max="75" width="17" style="14" customWidth="1"/>
    <col min="76" max="77" width="17.1796875" style="14" customWidth="1"/>
    <col min="78" max="98" width="17.1796875" style="10" customWidth="1"/>
    <col min="99" max="102" width="12.26953125" style="10" customWidth="1"/>
    <col min="103" max="110" width="12.453125" style="10" customWidth="1"/>
    <col min="111" max="120" width="8.81640625" style="10" customWidth="1"/>
    <col min="121" max="121" width="8.816406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3" t="s">
        <v>21</v>
      </c>
      <c r="D1" s="13" t="s">
        <v>21</v>
      </c>
      <c r="E1" s="11"/>
      <c r="F1" s="13" t="s">
        <v>21</v>
      </c>
      <c r="G1" s="13"/>
      <c r="H1" s="11"/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</row>
    <row r="2" spans="1:121" ht="15.75" customHeight="1" thickBot="1" x14ac:dyDescent="0.3">
      <c r="B2" s="11"/>
      <c r="C2" s="16"/>
      <c r="D2" s="16"/>
      <c r="E2" s="11"/>
      <c r="F2" s="16"/>
      <c r="G2" s="16"/>
      <c r="H2" s="11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</row>
    <row r="3" spans="1:121" ht="15" customHeight="1" x14ac:dyDescent="0.25">
      <c r="B3" s="11"/>
      <c r="C3" s="16"/>
      <c r="D3" s="16"/>
      <c r="E3" s="11"/>
      <c r="F3" s="16"/>
      <c r="G3" s="16"/>
      <c r="H3" s="11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</row>
    <row r="4" spans="1:121" ht="15" customHeight="1" thickBot="1" x14ac:dyDescent="0.3">
      <c r="B4" s="11"/>
      <c r="C4" s="16"/>
      <c r="D4" s="16"/>
      <c r="E4" s="11"/>
      <c r="F4" s="16"/>
      <c r="G4" s="16"/>
      <c r="H4" s="11"/>
      <c r="I4" s="16"/>
      <c r="J4" s="77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</row>
    <row r="5" spans="1:121" ht="15.75" customHeight="1" thickBot="1" x14ac:dyDescent="0.3">
      <c r="B5" s="11"/>
      <c r="C5" s="16"/>
      <c r="D5" s="16"/>
      <c r="E5" s="11"/>
      <c r="F5" s="16"/>
      <c r="G5" s="16"/>
      <c r="H5" s="11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</row>
    <row r="6" spans="1:121" s="18" customFormat="1" ht="42" customHeight="1" thickBot="1" x14ac:dyDescent="0.4">
      <c r="A6" s="22"/>
      <c r="B6" s="76" t="s">
        <v>155</v>
      </c>
      <c r="C6" s="76"/>
      <c r="D6" s="70" t="s">
        <v>155</v>
      </c>
      <c r="E6" s="79" t="s">
        <v>155</v>
      </c>
      <c r="F6" s="74"/>
      <c r="G6" s="219" t="s">
        <v>133</v>
      </c>
      <c r="H6" s="220"/>
      <c r="I6" s="89"/>
      <c r="J6" s="11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CX6" s="26"/>
    </row>
    <row r="7" spans="1:121" s="18" customFormat="1" ht="15" hidden="1" customHeight="1" thickBot="1" x14ac:dyDescent="0.4">
      <c r="A7" s="27"/>
      <c r="B7" s="28"/>
      <c r="C7" s="28"/>
      <c r="D7" s="28"/>
      <c r="E7" s="81"/>
      <c r="F7" s="74"/>
      <c r="G7" s="228" t="s">
        <v>132</v>
      </c>
      <c r="H7" s="229"/>
      <c r="I7" s="108"/>
      <c r="J7" s="125" t="s">
        <v>0</v>
      </c>
      <c r="K7" s="155" t="s">
        <v>2</v>
      </c>
      <c r="L7" s="155" t="s">
        <v>2</v>
      </c>
      <c r="M7" s="156" t="s">
        <v>2</v>
      </c>
      <c r="N7" s="156" t="s">
        <v>3</v>
      </c>
      <c r="O7" s="156" t="s">
        <v>3</v>
      </c>
      <c r="P7" s="156" t="s">
        <v>3</v>
      </c>
      <c r="Q7" s="29" t="s">
        <v>3</v>
      </c>
      <c r="R7" s="155" t="s">
        <v>3</v>
      </c>
      <c r="S7" s="155" t="s">
        <v>3</v>
      </c>
      <c r="T7" s="155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5" t="s">
        <v>2</v>
      </c>
      <c r="AA7" s="155" t="s">
        <v>2</v>
      </c>
      <c r="CX7" s="26"/>
    </row>
    <row r="8" spans="1:121" s="18" customFormat="1" ht="15.75" customHeight="1" x14ac:dyDescent="0.35">
      <c r="A8" s="22"/>
      <c r="B8" s="70"/>
      <c r="C8" s="70"/>
      <c r="D8" s="70"/>
      <c r="E8" s="80" t="str">
        <f ca="1">MID(CELL("filename",A1),FIND("]",CELL("filename",A1))+1,255)&amp;" Level Scorecard"</f>
        <v>Partner Level Scorecard</v>
      </c>
      <c r="F8" s="74"/>
      <c r="G8" s="230" t="s">
        <v>132</v>
      </c>
      <c r="H8" s="231"/>
      <c r="I8" s="128"/>
      <c r="J8" s="126" t="s">
        <v>16</v>
      </c>
      <c r="K8" s="127">
        <f>VLOOKUP(K6,Benchmark_Legend[],MATCH(ColumnP[[#This Row],[Metric]],Benchmark_Legend[#Headers],0),0)</f>
        <v>0.7</v>
      </c>
      <c r="L8" s="127">
        <f>VLOOKUP(L6,Benchmark_Legend[],MATCH(ColumnP[[#This Row],[Metric]],Benchmark_Legend[#Headers],0),0)</f>
        <v>0.98</v>
      </c>
      <c r="M8" s="127">
        <f>VLOOKUP(M6,Benchmark_Legend[],MATCH(ColumnP[[#This Row],[Metric]],Benchmark_Legend[#Headers],0),0)</f>
        <v>0.95</v>
      </c>
      <c r="N8" s="127">
        <f>VLOOKUP(N6,Benchmark_Legend[],MATCH(ColumnP[[#This Row],[Metric]],Benchmark_Legend[#Headers],0),0)</f>
        <v>0.05</v>
      </c>
      <c r="O8" s="127">
        <f>VLOOKUP(O6,Benchmark_Legend[],MATCH(ColumnP[[#This Row],[Metric]],Benchmark_Legend[#Headers],0),0)</f>
        <v>0.02</v>
      </c>
      <c r="P8" s="127">
        <f>VLOOKUP(P6,Benchmark_Legend[],MATCH(ColumnP[[#This Row],[Metric]],Benchmark_Legend[#Headers],0),0)</f>
        <v>0.02</v>
      </c>
      <c r="Q8" s="127">
        <f>VLOOKUP(Q6,Benchmark_Legend[],MATCH(ColumnP[[#This Row],[Metric]],Benchmark_Legend[#Headers],0),0)</f>
        <v>0.01</v>
      </c>
      <c r="R8" s="127">
        <f>VLOOKUP(R6,Benchmark_Legend[],MATCH(ColumnP[[#This Row],[Metric]],Benchmark_Legend[#Headers],0),0)</f>
        <v>0.01</v>
      </c>
      <c r="S8" s="127">
        <f>VLOOKUP(S6,Benchmark_Legend[],MATCH(ColumnP[[#This Row],[Metric]],Benchmark_Legend[#Headers],0),0)</f>
        <v>0.01</v>
      </c>
      <c r="T8" s="127">
        <f>VLOOKUP(T6,Benchmark_Legend[],MATCH(ColumnP[[#This Row],[Metric]],Benchmark_Legend[#Headers],0),0)</f>
        <v>0.03</v>
      </c>
      <c r="U8" s="127">
        <f>VLOOKUP(U6,Benchmark_Legend[],MATCH(ColumnP[[#This Row],[Metric]],Benchmark_Legend[#Headers],0),0)</f>
        <v>0.55000000000000004</v>
      </c>
      <c r="V8" s="127">
        <f>VLOOKUP(V6,Benchmark_Legend[],MATCH(ColumnP[[#This Row],[Metric]],Benchmark_Legend[#Headers],0),0)</f>
        <v>0.6</v>
      </c>
      <c r="W8" s="127">
        <f>VLOOKUP(W6,Benchmark_Legend[],MATCH(ColumnP[[#This Row],[Metric]],Benchmark_Legend[#Headers],0),0)</f>
        <v>0.5</v>
      </c>
      <c r="X8" s="127">
        <f>VLOOKUP(X6,Benchmark_Legend[],MATCH(ColumnP[[#This Row],[Metric]],Benchmark_Legend[#Headers],0),0)</f>
        <v>0.35</v>
      </c>
      <c r="Y8" s="127">
        <f>VLOOKUP(Y6,Benchmark_Legend[],MATCH(ColumnP[[#This Row],[Metric]],Benchmark_Legend[#Headers],0),0)</f>
        <v>0.25</v>
      </c>
      <c r="Z8" s="127">
        <f>VLOOKUP(Z6,Benchmark_Legend[],MATCH(ColumnP[[#This Row],[Metric]],Benchmark_Legend[#Headers],0),0)</f>
        <v>0.35</v>
      </c>
      <c r="AA8" s="127">
        <f>VLOOKUP(AA6,Benchmark_Legend[],MATCH(ColumnP[[#This Row],[Metric]],Benchmark_Legend[#Headers],0),0)</f>
        <v>0.25</v>
      </c>
      <c r="CX8" s="26"/>
    </row>
    <row r="9" spans="1:121" s="18" customFormat="1" ht="15.75" customHeight="1" thickBot="1" x14ac:dyDescent="0.4">
      <c r="A9" s="22"/>
      <c r="B9" s="232" t="s">
        <v>154</v>
      </c>
      <c r="C9" s="232"/>
      <c r="D9" s="232"/>
      <c r="E9" s="232"/>
      <c r="F9" s="57"/>
      <c r="G9" s="117" t="s">
        <v>14</v>
      </c>
      <c r="H9" s="121" t="s">
        <v>14</v>
      </c>
      <c r="I9" s="109"/>
      <c r="J9" s="110" t="s">
        <v>130</v>
      </c>
      <c r="K9" s="113">
        <f t="array" aca="1" ref="K9" ca="1">SUM(
IF((DataP[Measured Rate 
'[% Measured']]&lt;&gt;"NULL"),
DataP[Measured Rate 
'[% Measured']]*
SUBTOTAL(9,OFFSET(DataP[Total Impressions],ROW(DataP[Total Impressions])-MIN(ROW(DataP[Total Impressions])),0,1))))
/
SUM(
IF((DataP[Measured Rate 
'[% Measured']]&lt;&gt;"NULL"),
SUBTOTAL(9,OFFSET(DataP[Total Impressions],ROW(DataP[Total Impressions])-MIN(ROW(DataP[Total Impressions])),0,1))))</f>
        <v>0.85414411138379209</v>
      </c>
      <c r="L9" s="113">
        <f t="array" aca="1" ref="L9" ca="1">SUM(
IF((DataP[See-Through Rate 
'[% Visible']]&lt;&gt;"NULL"),
DataP[See-Through Rate 
'[% Visible']]*
SUBTOTAL(9,OFFSET(DataP[Total Impressions],ROW(DataP[Total Impressions])-MIN(ROW(DataP[Total Impressions])),0,1))))
/
SUM(
IF((DataP[See-Through Rate 
'[% Visible']]&lt;&gt;"NULL"),
SUBTOTAL(9,OFFSET(DataP[Total Impressions],ROW(DataP[Total Impressions])-MIN(ROW(DataP[Total Impressions])),0,1))))</f>
        <v>0.9691584569847993</v>
      </c>
      <c r="M9" s="113">
        <f t="array" aca="1" ref="M9" ca="1">SUM(
IF((DataP[Brand Safety 
'[% Passed']]&lt;&gt;"NULL"),
DataP[Brand Safety 
'[% Passed']]*
SUBTOTAL(9,OFFSET(DataP[Total Impressions],ROW(DataP[Total Impressions])-MIN(ROW(DataP[Total Impressions])),0,1))))
/
SUM(
IF((DataP[Brand Safety 
'[% Passed']]&lt;&gt;"NULL"),
SUBTOTAL(9,OFFSET(DataP[Total Impressions],ROW(DataP[Total Impressions])-MIN(ROW(DataP[Total Impressions])),0,1))))</f>
        <v>0.95555630283735737</v>
      </c>
      <c r="N9" s="113">
        <f t="array" aca="1" ref="N9" ca="1">SUM(
IF((DataP[Brand Safety 
'[% Failed']]&lt;&gt;"NULL"),
DataP[Brand Safety 
'[% Failed']]*
SUBTOTAL(9,OFFSET(DataP[Total Impressions],ROW(DataP[Total Impressions])-MIN(ROW(DataP[Total Impressions])),0,1))))
/
SUM(
IF((DataP[Brand Safety 
'[% Failed']]&lt;&gt;"NULL"),
SUBTOTAL(9,OFFSET(DataP[Total Impressions],ROW(DataP[Total Impressions])-MIN(ROW(DataP[Total Impressions])),0,1))))</f>
        <v>4.4443697162734448E-2</v>
      </c>
      <c r="O9" s="113">
        <f t="array" aca="1" ref="O9" ca="1">SUM(
IF((DataP[Brand Safety 
'[% Failed by Content']]&lt;&gt;"NULL"),
DataP[Brand Safety 
'[% Failed by Content']]*
SUBTOTAL(9,OFFSET(DataP[Total Impressions],ROW(DataP[Total Impressions])-MIN(ROW(DataP[Total Impressions])),0,1))))
/
SUM(
IF((DataP[Brand Safety 
'[% Failed by Content']]&lt;&gt;"NULL"),
SUBTOTAL(9,OFFSET(DataP[Total Impressions],ROW(DataP[Total Impressions])-MIN(ROW(DataP[Total Impressions])),0,1))))</f>
        <v>2.2063742357420646E-2</v>
      </c>
      <c r="P9" s="113">
        <f t="array" aca="1" ref="P9" ca="1">SUM(
IF((DataP[Brand Safety 
'[% Failed by Geo']]&lt;&gt;"NULL"),
DataP[Brand Safety 
'[% Failed by Geo']]*
SUBTOTAL(9,OFFSET(DataP[Total Impressions],ROW(DataP[Total Impressions])-MIN(ROW(DataP[Total Impressions])),0,1))))
/
SUM(
IF((DataP[Brand Safety 
'[% Failed by Geo']]&lt;&gt;"NULL"),
SUBTOTAL(9,OFFSET(DataP[Total Impressions],ROW(DataP[Total Impressions])-MIN(ROW(DataP[Total Impressions])),0,1))))</f>
        <v>1.9318567395807257E-3</v>
      </c>
      <c r="Q9" s="113">
        <f t="array" aca="1" ref="Q9" ca="1">SUM(
IF((DataP[Brand Safety 
'[% Failed by Keyword']]&lt;&gt;"NULL"),
DataP[Brand Safety 
'[% Failed by Keyword']]*
SUBTOTAL(9,OFFSET(DataP[Total Impressions],ROW(DataP[Total Impressions])-MIN(ROW(DataP[Total Impressions])),0,1))))
/
SUM(
IF((DataP[Brand Safety 
'[% Failed by Keyword']]&lt;&gt;"NULL"),
SUBTOTAL(9,OFFSET(DataP[Total Impressions],ROW(DataP[Total Impressions])-MIN(ROW(DataP[Total Impressions])),0,1))))</f>
        <v>0</v>
      </c>
      <c r="R9" s="113">
        <f t="array" aca="1" ref="R9" ca="1">SUM(
IF((DataP[Brand Safety 
'[% Failed by Blacklist']]&lt;&gt;"NULL"),
DataP[Brand Safety 
'[% Failed by Blacklist']]*
SUBTOTAL(9,OFFSET(DataP[Total Impressions],ROW(DataP[Total Impressions])-MIN(ROW(DataP[Total Impressions])),0,1))))
/
SUM(
IF((DataP[Brand Safety 
'[% Failed by Blacklist']]&lt;&gt;"NULL"),
SUBTOTAL(9,OFFSET(DataP[Total Impressions],ROW(DataP[Total Impressions])-MIN(ROW(DataP[Total Impressions])),0,1))))</f>
        <v>6.3886973277751751E-4</v>
      </c>
      <c r="S9" s="113">
        <f t="array" aca="1" ref="S9" ca="1">SUM(
IF((DataP[Brand Safety 
'[% Failed by Language']]&lt;&gt;"NULL"),
DataP[Brand Safety 
'[% Failed by Language']]*
SUBTOTAL(9,OFFSET(DataP[Total Impressions],ROW(DataP[Total Impressions])-MIN(ROW(DataP[Total Impressions])),0,1))))
/
SUM(
IF((DataP[Brand Safety 
'[% Failed by Language']]&lt;&gt;"NULL"),
SUBTOTAL(9,OFFSET(DataP[Total Impressions],ROW(DataP[Total Impressions])-MIN(ROW(DataP[Total Impressions])),0,1))))</f>
        <v>0</v>
      </c>
      <c r="T9" s="113">
        <f t="array" aca="1" ref="T9" ca="1">SUM(
IF((DataP[Fraud 
'[% Fraud']]&lt;&gt;"NULL"),
DataP[Fraud 
'[% Fraud']]*
SUBTOTAL(9,OFFSET(DataP[Total Impressions],ROW(DataP[Total Impressions])-MIN(ROW(DataP[Total Impressions])),0,1))))
/
SUM(
IF((DataP[Fraud 
'[% Fraud']]&lt;&gt;"NULL"),
SUBTOTAL(9,OFFSET(DataP[Total Impressions],ROW(DataP[Total Impressions])-MIN(ROW(DataP[Total Impressions])),0,1))))</f>
        <v>2.0559411853600301E-2</v>
      </c>
      <c r="U9" s="113">
        <f t="array" aca="1" ref="U9" ca="1">SUM(
IF((DataP[Viewability 
'[Total Viewable Rate (Total Net Metrics)']]&lt;&gt;"NULL"),
DataP[Viewability 
'[Total Viewable Rate (Total Net Metrics)']]*SUBTOTAL(9,OFFSET(DataP[Measured Impressions],ROW(DataP[Measured Impressions])-MIN(ROW(DataP[Measured Impressions])),0,1))))
/
SUM(
IF((DataP[Viewability 
'[Total Viewable Rate (Total Net Metrics)']]&lt;&gt;"NULL"),
SUBTOTAL(9,OFFSET(DataP[Measured Impressions],ROW(DataP[Measured Impressions])-MIN(ROW(DataP[Measured Impressions])),0,1))))</f>
        <v>0.57578097612355661</v>
      </c>
      <c r="V9" s="113">
        <f t="array" aca="1" ref="V9" ca="1">SUM(
IF((DataP[Display Viewability 
'[Total Viewable Rate (Total Net Metrics)']]&lt;&gt;"NULL"),
DataP[Display Viewability 
'[Total Viewable Rate (Total Net Metrics)']]*SUBTOTAL(9,OFFSET(DataP[Measured Impressions],ROW(DataP[Measured Impressions])-MIN(ROW(DataP[Measured Impressions])),0,1))))
/
SUM(
IF((DataP[Display Viewability 
'[Total Viewable Rate (Total Net Metrics)']]&lt;&gt;"NULL"),
SUBTOTAL(9,OFFSET(DataP[Measured Impressions],ROW(DataP[Measured Impressions])-MIN(ROW(DataP[Measured Impressions])),0,1))))</f>
        <v>0.57578097612355661</v>
      </c>
      <c r="W9" s="113" t="e">
        <f t="array" aca="1" ref="W9" ca="1">SUM(
IF((DataP[Video Viewability 
'[Total Viewable Rate (Total Net Metrics)']]&lt;&gt;"NULL"),
DataP[Video Viewability 
'[Total Viewable Rate (Total Net Metrics)']]*SUBTOTAL(9,OFFSET(DataP[Measured Impressions],ROW(DataP[Measured Impressions])-MIN(ROW(DataP[Measured Impressions])),0,1))))
/
SUM(
IF((DataP[Video Viewability 
'[Total Viewable Rate (Total Net Metrics)']]&lt;&gt;"NULL"),
SUBTOTAL(9,OFFSET(DataP[Measured Impressions],ROW(DataP[Measured Impressions])-MIN(ROW(DataP[Measured Impressions])),0,1))))</f>
        <v>#DIV/0!</v>
      </c>
      <c r="X9" s="113">
        <f t="array" aca="1" ref="X9" ca="1">SUM(
IF((DataP[GroupM Viewability 
'[% Display Ads Fully in View']]&lt;&gt;"NULL"),
DataP[GroupM Viewability 
'[% Display Ads Fully in View']]*SUBTOTAL(9,OFFSET(DataP[Measured Impressions],ROW(DataP[Measured Impressions])-MIN(ROW(DataP[Measured Impressions])),0,1))))
/
SUM(
IF((DataP[GroupM Viewability 
'[% Display Ads Fully in View']]&lt;&gt;"NULL"),
SUBTOTAL(9,OFFSET(DataP[Measured Impressions],ROW(DataP[Measured Impressions])-MIN(ROW(DataP[Measured Impressions])),0,1))))</f>
        <v>0</v>
      </c>
      <c r="Y9" s="113" t="e">
        <f t="array" aca="1" ref="Y9" ca="1">SUM(
IF((DataP[GroupM Viewability 
'[% Videos Fully in View']]&lt;&gt;"NULL"),
DataP[GroupM Viewability 
'[% Videos Fully in View']]*SUBTOTAL(9,OFFSET(DataP[Measured Impressions],ROW(DataP[Measured Impressions])-MIN(ROW(DataP[Measured Impressions])),0,1))))
/
SUM(
IF((DataP[GroupM Viewability 
'[% Videos Fully in View']]&lt;&gt;"NULL"),
SUBTOTAL(9,OFFSET(DataP[Measured Impressions],ROW(DataP[Measured Impressions])-MIN(ROW(DataP[Measured Impressions])),0,1))))</f>
        <v>#DIV/0!</v>
      </c>
      <c r="Z9" s="113">
        <f t="array" aca="1" ref="Z9" ca="1">SUM(
IF((DataP[Publicis Viewability 
'[% Display Ads Fully in View']]&lt;&gt;"NULL"),
DataP[Publicis Viewability 
'[% Display Ads Fully in View']]*SUBTOTAL(9,OFFSET(DataP[Measured Impressions],ROW(DataP[Measured Impressions])-MIN(ROW(DataP[Measured Impressions])),0,1))))
/
SUM(
IF((DataP[Publicis Viewability 
'[% Display Ads Fully in View']]&lt;&gt;"NULL"),
SUBTOTAL(9,OFFSET(DataP[Measured Impressions],ROW(DataP[Measured Impressions])-MIN(ROW(DataP[Measured Impressions])),0,1))))</f>
        <v>0</v>
      </c>
      <c r="AA9" s="113" t="e">
        <f t="array" aca="1" ref="AA9" ca="1">SUM(
IF((DataP[Publicis Viewability 
'[% Videos Fully in View']]&lt;&gt;"NULL"),
DataP[Publicis Viewability 
'[% Videos Fully in View']]*SUBTOTAL(9,OFFSET(DataP[Measured Impressions],ROW(DataP[Measured Impressions])-MIN(ROW(DataP[Measured Impressions])),0,1))))
/
SUM(
IF((DataP[Publicis Viewability 
'[% Videos Fully in View']]&lt;&gt;"NULL"),
SUBTOTAL(9,OFFSET(DataP[Measured Impressions],ROW(DataP[Measured Impressions])-MIN(ROW(DataP[Measured Impressions])),0,1))))</f>
        <v>#DIV/0!</v>
      </c>
      <c r="CX9" s="26"/>
    </row>
    <row r="10" spans="1:121" s="18" customFormat="1" ht="15.65" hidden="1" customHeight="1" x14ac:dyDescent="0.35">
      <c r="A10" s="27"/>
      <c r="B10" s="28"/>
      <c r="C10" s="28"/>
      <c r="D10" s="28"/>
      <c r="E10" s="60"/>
      <c r="F10" s="57"/>
      <c r="G10" s="115" t="s">
        <v>14</v>
      </c>
      <c r="H10" s="115"/>
      <c r="I10" s="27"/>
      <c r="J10" s="101" t="s">
        <v>126</v>
      </c>
      <c r="K10" s="31" t="e">
        <f t="array" aca="1" ref="K10" ca="1">SUM(
IF(DataP[Measured Rate 
'[% Measured']]&lt;&gt;"NULL",
IF(DataP[Device Type]=ColumnP[[#This Row],[Metric]],
DataP[Measured Rate 
'[% Measured']]*
SUBTOTAL(9,OFFSET(DataP[Total Impressions],ROW(DataP[Total Impressions])-MIN(ROW(DataP[Total Impressions])),0,1)))))
/
SUM(
IF(DataP[Measured Rate 
'[% Measured']]&lt;&gt;"NULL",
IF(DataP[Device Type]=ColumnP[[#This Row],[Metric]],
SUBTOTAL(9,OFFSET(DataP[Total Impressions],ROW(DataP[Total Impressions])-MIN(ROW(DataP[Total Impressions])),0,1)))))</f>
        <v>#DIV/0!</v>
      </c>
      <c r="L10" s="32" t="e">
        <f t="array" aca="1" ref="L10" ca="1">SUM(
IF(DataP[See-Through Rate 
'[% Visible']]&lt;&gt;"NULL",
IF(DataP[Device Type]=ColumnP[[#This Row],[Metric]],
DataP[See-Through Rate 
'[% Visible']]*
SUBTOTAL(9,OFFSET(DataP[Total Impressions],ROW(DataP[Total Impressions])-MIN(ROW(DataP[Total Impressions])),0,1)))))
/
SUM(
IF(DataP[See-Through Rate 
'[% Visible']]&lt;&gt;"NULL",
IF(DataP[Device Type]=ColumnP[[#This Row],[Metric]],
SUBTOTAL(9,OFFSET(DataP[Total Impressions],ROW(DataP[Total Impressions])-MIN(ROW(DataP[Total Impressions])),0,1)))))</f>
        <v>#DIV/0!</v>
      </c>
      <c r="M10" s="32" t="e">
        <f t="array" aca="1" ref="M10" ca="1">SUM(
IF(DataP[Brand Safety 
'[% Passed']]&lt;&gt;"NULL",
IF(DataP[Device Type]=ColumnP[[#This Row],[Metric]],
DataP[Brand Safety 
'[% Passed']]*
SUBTOTAL(9,OFFSET(DataP[Total Impressions],ROW(DataP[Total Impressions])-MIN(ROW(DataP[Total Impressions])),0,1)))))
/
SUM(
IF(DataP[Brand Safety 
'[% Passed']]&lt;&gt;"NULL",
IF(DataP[Device Type]=ColumnP[[#This Row],[Metric]],
SUBTOTAL(9,OFFSET(DataP[Total Impressions],ROW(DataP[Total Impressions])-MIN(ROW(DataP[Total Impressions])),0,1)))))</f>
        <v>#DIV/0!</v>
      </c>
      <c r="N10" s="32" t="e">
        <f t="array" aca="1" ref="N10" ca="1">SUM(
IF(DataP[Brand Safety 
'[% Failed']]&lt;&gt;"NULL",
IF(DataP[Device Type]=ColumnP[[#This Row],[Metric]],
DataP[Brand Safety 
'[% Failed']]*
SUBTOTAL(9,OFFSET(DataP[Total Impressions],ROW(DataP[Total Impressions])-MIN(ROW(DataP[Total Impressions])),0,1)))))
/
SUM(
IF(DataP[Brand Safety 
'[% Failed']]&lt;&gt;"NULL",
IF(DataP[Device Type]=ColumnP[[#This Row],[Metric]],
SUBTOTAL(9,OFFSET(DataP[Total Impressions],ROW(DataP[Total Impressions])-MIN(ROW(DataP[Total Impressions])),0,1)))))</f>
        <v>#DIV/0!</v>
      </c>
      <c r="O10" s="32" t="e">
        <f t="array" aca="1" ref="O10" ca="1">SUM(
IF(DataP[Brand Safety 
'[% Failed by Content']]&lt;&gt;"NULL",
IF(DataP[Device Type]=ColumnP[[#This Row],[Metric]],
DataP[Brand Safety 
'[% Failed by Content']]*
SUBTOTAL(9,OFFSET(DataP[Total Impressions],ROW(DataP[Total Impressions])-MIN(ROW(DataP[Total Impressions])),0,1)))))
/
SUM(
IF(DataP[Brand Safety 
'[% Failed by Content']]&lt;&gt;"NULL",
IF(DataP[Device Type]=ColumnP[[#This Row],[Metric]],
SUBTOTAL(9,OFFSET(DataP[Total Impressions],ROW(DataP[Total Impressions])-MIN(ROW(DataP[Total Impressions])),0,1)))))</f>
        <v>#DIV/0!</v>
      </c>
      <c r="P10" s="32" t="e">
        <f t="array" aca="1" ref="P10" ca="1">SUM(
IF(DataP[Brand Safety 
'[% Failed by Geo']]&lt;&gt;"NULL",
IF(DataP[Device Type]=ColumnP[[#This Row],[Metric]],
DataP[Brand Safety 
'[% Failed by Geo']]*
SUBTOTAL(9,OFFSET(DataP[Total Impressions],ROW(DataP[Total Impressions])-MIN(ROW(DataP[Total Impressions])),0,1)))))
/
SUM(
IF(DataP[Brand Safety 
'[% Failed by Geo']]&lt;&gt;"NULL",
IF(DataP[Device Type]=ColumnP[[#This Row],[Metric]],
SUBTOTAL(9,OFFSET(DataP[Total Impressions],ROW(DataP[Total Impressions])-MIN(ROW(DataP[Total Impressions])),0,1)))))</f>
        <v>#DIV/0!</v>
      </c>
      <c r="Q10" s="32" t="e">
        <f t="array" aca="1" ref="Q10" ca="1">SUM(
IF(DataP[Brand Safety 
'[% Failed by Keyword']]&lt;&gt;"NULL",
IF(DataP[Device Type]=ColumnP[[#This Row],[Metric]],
DataP[Brand Safety 
'[% Failed by Keyword']]*
SUBTOTAL(9,OFFSET(DataP[Total Impressions],ROW(DataP[Total Impressions])-MIN(ROW(DataP[Total Impressions])),0,1)))))
/
SUM(
IF(DataP[Brand Safety 
'[% Failed by Keyword']]&lt;&gt;"NULL",
IF(DataP[Device Type]=ColumnP[[#This Row],[Metric]],
SUBTOTAL(9,OFFSET(DataP[Total Impressions],ROW(DataP[Total Impressions])-MIN(ROW(DataP[Total Impressions])),0,1)))))</f>
        <v>#DIV/0!</v>
      </c>
      <c r="R10" s="32" t="e">
        <f t="array" aca="1" ref="R10" ca="1">SUM(
IF(DataP[Brand Safety 
'[% Failed by Blacklist']]&lt;&gt;"NULL",
IF(DataP[Device Type]=ColumnP[[#This Row],[Metric]],
DataP[Brand Safety 
'[% Failed by Blacklist']]*
SUBTOTAL(9,OFFSET(DataP[Total Impressions],ROW(DataP[Total Impressions])-MIN(ROW(DataP[Total Impressions])),0,1)))))
/
SUM(
IF(DataP[Brand Safety 
'[% Failed by Blacklist']]&lt;&gt;"NULL",
IF(DataP[Device Type]=ColumnP[[#This Row],[Metric]],
SUBTOTAL(9,OFFSET(DataP[Total Impressions],ROW(DataP[Total Impressions])-MIN(ROW(DataP[Total Impressions])),0,1)))))</f>
        <v>#DIV/0!</v>
      </c>
      <c r="S10" s="32" t="e">
        <f t="array" aca="1" ref="S10" ca="1">SUM(
IF(DataP[Brand Safety 
'[% Failed by Language']]&lt;&gt;"NULL",
IF(DataP[Device Type]=ColumnP[[#This Row],[Metric]],
DataP[Brand Safety 
'[% Failed by Language']]*
SUBTOTAL(9,OFFSET(DataP[Total Impressions],ROW(DataP[Total Impressions])-MIN(ROW(DataP[Total Impressions])),0,1)))))
/
SUM(
IF(DataP[Brand Safety 
'[% Failed by Language']]&lt;&gt;"NULL",
IF(DataP[Device Type]=ColumnP[[#This Row],[Metric]],
SUBTOTAL(9,OFFSET(DataP[Total Impressions],ROW(DataP[Total Impressions])-MIN(ROW(DataP[Total Impressions])),0,1)))))</f>
        <v>#DIV/0!</v>
      </c>
      <c r="T10" s="32" t="e">
        <f t="array" aca="1" ref="T10" ca="1">SUM(
IF(DataP[Fraud 
'[% Fraud']]&lt;&gt;"NULL",
IF(DataP[Device Type]=ColumnP[[#This Row],[Metric]],
DataP[Fraud 
'[% Fraud']]*
SUBTOTAL(9,OFFSET(DataP[Total Impressions],ROW(DataP[Total Impressions])-MIN(ROW(DataP[Total Impressions])),0,1)))))
/
SUM(
IF(DataP[Fraud 
'[% Fraud']]&lt;&gt;"NULL",
IF(DataP[Device Type]=ColumnP[[#This Row],[Metric]],
SUBTOTAL(9,OFFSET(DataP[Total Impressions],ROW(DataP[Total Impressions])-MIN(ROW(DataP[Total Impressions])),0,1)))))</f>
        <v>#DIV/0!</v>
      </c>
      <c r="U10" s="32" t="e">
        <f t="array" aca="1" ref="U10" ca="1">SUM(
IF(DataP[Viewability 
'[Total Viewable Rate (Total Net Metrics)']]&lt;&gt;"NULL",
IF(DataP[Device Type]=ColumnP[[#This Row],[Metric]],
DataP[Viewability 
'[Total Viewable Rate (Total Net Metrics)']]*
SUBTOTAL(9,OFFSET(DataP[Total Impressions],ROW(DataP[Total Impressions])-MIN(ROW(DataP[Total Impressions])),0,1)))))
/
SUM(
IF(DataP[Viewability 
'[Total Viewable Rate (Total Net Metrics)']]&lt;&gt;"NULL",
IF(DataP[Device Type]=ColumnP[[#This Row],[Metric]],
SUBTOTAL(9,OFFSET(DataP[Total Impressions],ROW(DataP[Total Impressions])-MIN(ROW(DataP[Total Impressions])),0,1)))))</f>
        <v>#DIV/0!</v>
      </c>
      <c r="V10" s="32" t="e">
        <f t="array" aca="1" ref="V10" ca="1">SUM(
IF(DataP[Display Viewability 
'[Total Viewable Rate (Total Net Metrics)']]&lt;&gt;"NULL",
IF(DataP[Device Type]=ColumnP[[#This Row],[Metric]],
DataP[Display Viewability 
'[Total Viewable Rate (Total Net Metrics)']]*
SUBTOTAL(9,OFFSET(DataP[Total Impressions],ROW(DataP[Total Impressions])-MIN(ROW(DataP[Total Impressions])),0,1)))))
/
SUM(
IF(DataP[Display Viewability 
'[Total Viewable Rate (Total Net Metrics)']]&lt;&gt;"NULL",
IF(DataP[Device Type]=ColumnP[[#This Row],[Metric]],
SUBTOTAL(9,OFFSET(DataP[Total Impressions],ROW(DataP[Total Impressions])-MIN(ROW(DataP[Total Impressions])),0,1)))))</f>
        <v>#DIV/0!</v>
      </c>
      <c r="W10" s="32" t="e">
        <f t="array" aca="1" ref="W10" ca="1">SUM(
IF(DataP[Video Viewability 
'[Total Viewable Rate (Total Net Metrics)']]&lt;&gt;"NULL",
IF(DataP[Device Type]=ColumnP[[#This Row],[Metric]],
DataP[Video Viewability 
'[Total Viewable Rate (Total Net Metrics)']]*
SUBTOTAL(9,OFFSET(DataP[Total Impressions],ROW(DataP[Total Impressions])-MIN(ROW(DataP[Total Impressions])),0,1)))))
/
SUM(
IF(DataP[Video Viewability 
'[Total Viewable Rate (Total Net Metrics)']]&lt;&gt;"NULL",
IF(DataP[Device Type]=ColumnP[[#This Row],[Metric]],
SUBTOTAL(9,OFFSET(DataP[Total Impressions],ROW(DataP[Total Impressions])-MIN(ROW(DataP[Total Impressions])),0,1)))))</f>
        <v>#DIV/0!</v>
      </c>
      <c r="X10" s="32" t="e">
        <f t="array" aca="1" ref="X10" ca="1">SUM(
IF(DataP[GroupM Viewability 
'[% Display Ads Fully in View']]&lt;&gt;"NULL",
IF(DataP[Device Type]=ColumnP[[#This Row],[Metric]],
DataP[GroupM Viewability 
'[% Display Ads Fully in View']]*
SUBTOTAL(9,OFFSET(DataP[Total Impressions],ROW(DataP[Total Impressions])-MIN(ROW(DataP[Total Impressions])),0,1)))))
/
SUM(
IF(DataP[GroupM Viewability 
'[% Display Ads Fully in View']]&lt;&gt;"NULL",
IF(DataP[Device Type]=ColumnP[[#This Row],[Metric]],
SUBTOTAL(9,OFFSET(DataP[Total Impressions],ROW(DataP[Total Impressions])-MIN(ROW(DataP[Total Impressions])),0,1)))))</f>
        <v>#DIV/0!</v>
      </c>
      <c r="Y10" s="32" t="e">
        <f t="array" aca="1" ref="Y10" ca="1">SUM(
IF(DataP[GroupM Viewability 
'[% Videos Fully in View']]&lt;&gt;"NULL",
IF(DataP[Device Type]=ColumnP[[#This Row],[Metric]],
DataP[GroupM Viewability 
'[% Videos Fully in View']]*
SUBTOTAL(9,OFFSET(DataP[Total Impressions],ROW(DataP[Total Impressions])-MIN(ROW(DataP[Total Impressions])),0,1)))))
/
SUM(
IF(DataP[GroupM Viewability 
'[% Videos Fully in View']]&lt;&gt;"NULL",
IF(DataP[Device Type]=ColumnP[[#This Row],[Metric]],
SUBTOTAL(9,OFFSET(DataP[Total Impressions],ROW(DataP[Total Impressions])-MIN(ROW(DataP[Total Impressions])),0,1)))))</f>
        <v>#DIV/0!</v>
      </c>
      <c r="Z10" s="32" t="e">
        <f t="array" aca="1" ref="Z10" ca="1">SUM(
IF(DataP[Publicis Viewability 
'[% Display Ads Fully in View']]&lt;&gt;"NULL",
IF(DataP[Device Type]=ColumnP[[#This Row],[Metric]],
DataP[Publicis Viewability 
'[% Display Ads Fully in View']]*
SUBTOTAL(9,OFFSET(DataP[Total Impressions],ROW(DataP[Total Impressions])-MIN(ROW(DataP[Total Impressions])),0,1)))))
/
SUM(
IF(DataP[Publicis Viewability 
'[% Display Ads Fully in View']]&lt;&gt;"NULL",
IF(DataP[Device Type]=ColumnP[[#This Row],[Metric]],
SUBTOTAL(9,OFFSET(DataP[Total Impressions],ROW(DataP[Total Impressions])-MIN(ROW(DataP[Total Impressions])),0,1)))))</f>
        <v>#DIV/0!</v>
      </c>
      <c r="AA10" s="32" t="e">
        <f t="array" aca="1" ref="AA10" ca="1">SUM(
IF(DataP[Publicis Viewability 
'[% Videos Fully in View']]&lt;&gt;"NULL",
IF(DataP[Device Type]=ColumnP[[#This Row],[Metric]],
DataP[Publicis Viewability 
'[% Videos Fully in View']]*
SUBTOTAL(9,OFFSET(DataP[Total Impressions],ROW(DataP[Total Impressions])-MIN(ROW(DataP[Total Impressions])),0,1)))))
/
SUM(
IF(DataP[Publicis Viewability 
'[% Videos Fully in View']]&lt;&gt;"NULL",
IF(DataP[Device Type]=ColumnP[[#This Row],[Metric]],
SUBTOTAL(9,OFFSET(DataP[Total Impressions],ROW(DataP[Total Impressions])-MIN(ROW(DataP[Total Impressions])),0,1)))))</f>
        <v>#DIV/0!</v>
      </c>
      <c r="CX10" s="26"/>
    </row>
    <row r="11" spans="1:121" s="18" customFormat="1" ht="16.5" hidden="1" customHeight="1" x14ac:dyDescent="0.35">
      <c r="A11" s="27"/>
      <c r="B11" s="28"/>
      <c r="C11" s="28"/>
      <c r="D11" s="28"/>
      <c r="E11" s="60"/>
      <c r="F11" s="57"/>
      <c r="G11" s="115" t="s">
        <v>14</v>
      </c>
      <c r="H11" s="115"/>
      <c r="I11" s="27"/>
      <c r="J11" s="101" t="s">
        <v>140</v>
      </c>
      <c r="K11" s="31" t="e">
        <f t="array" aca="1" ref="K11" ca="1">SUM(
IF(DataP[Measured Rate 
'[% Measured']]&lt;&gt;"NULL",
IF(DataP[Partner Type]=ColumnP[[#This Row],[Metric]],
DataP[Measured Rate 
'[% Measured']]*
SUBTOTAL(9,OFFSET(DataP[Total Impressions],ROW(DataP[Total Impressions])-MIN(ROW(DataP[Total Impressions])),0,1)))))
/
SUM(
IF(DataP[Measured Rate 
'[% Measured']]&lt;&gt;"NULL",
IF(DataP[Partner Type]=ColumnP[[#This Row],[Metric]],
SUBTOTAL(9,OFFSET(DataP[Total Impressions],ROW(DataP[Total Impressions])-MIN(ROW(DataP[Total Impressions])),0,1)))))</f>
        <v>#DIV/0!</v>
      </c>
      <c r="L11" s="32" t="e">
        <f t="array" aca="1" ref="L11" ca="1">SUM(
IF(DataP[See-Through Rate 
'[% Visible']]&lt;&gt;"NULL",
IF(DataP[Partner Type]=ColumnP[[#This Row],[Metric]],
DataP[See-Through Rate 
'[% Visible']]*
SUBTOTAL(9,OFFSET(DataP[Total Impressions],ROW(DataP[Total Impressions])-MIN(ROW(DataP[Total Impressions])),0,1)))))
/
SUM(
IF(DataP[See-Through Rate 
'[% Visible']]&lt;&gt;"NULL",
IF(DataP[Partner Type]=ColumnP[[#This Row],[Metric]],
SUBTOTAL(9,OFFSET(DataP[Total Impressions],ROW(DataP[Total Impressions])-MIN(ROW(DataP[Total Impressions])),0,1)))))</f>
        <v>#DIV/0!</v>
      </c>
      <c r="M11" s="32" t="e">
        <f t="array" aca="1" ref="M11" ca="1">SUM(
IF(DataP[Brand Safety 
'[% Passed']]&lt;&gt;"NULL",
IF(DataP[Partner Type]=ColumnP[[#This Row],[Metric]],
DataP[Brand Safety 
'[% Passed']]*
SUBTOTAL(9,OFFSET(DataP[Total Impressions],ROW(DataP[Total Impressions])-MIN(ROW(DataP[Total Impressions])),0,1)))))
/
SUM(
IF(DataP[Brand Safety 
'[% Passed']]&lt;&gt;"NULL",
IF(DataP[Partner Type]=ColumnP[[#This Row],[Metric]],
SUBTOTAL(9,OFFSET(DataP[Total Impressions],ROW(DataP[Total Impressions])-MIN(ROW(DataP[Total Impressions])),0,1)))))</f>
        <v>#DIV/0!</v>
      </c>
      <c r="N11" s="32" t="e">
        <f t="array" aca="1" ref="N11" ca="1">SUM(
IF(DataP[Brand Safety 
'[% Failed']]&lt;&gt;"NULL",
IF(DataP[Partner Type]=ColumnP[[#This Row],[Metric]],
DataP[Brand Safety 
'[% Failed']]*
SUBTOTAL(9,OFFSET(DataP[Total Impressions],ROW(DataP[Total Impressions])-MIN(ROW(DataP[Total Impressions])),0,1)))))
/
SUM(
IF(DataP[Brand Safety 
'[% Failed']]&lt;&gt;"NULL",
IF(DataP[Partner Type]=ColumnP[[#This Row],[Metric]],
SUBTOTAL(9,OFFSET(DataP[Total Impressions],ROW(DataP[Total Impressions])-MIN(ROW(DataP[Total Impressions])),0,1)))))</f>
        <v>#DIV/0!</v>
      </c>
      <c r="O11" s="32" t="e">
        <f t="array" aca="1" ref="O11" ca="1">SUM(
IF(DataP[Brand Safety 
'[% Failed by Content']]&lt;&gt;"NULL",
IF(DataP[Partner Type]=ColumnP[[#This Row],[Metric]],
DataP[Brand Safety 
'[% Failed by Content']]*
SUBTOTAL(9,OFFSET(DataP[Total Impressions],ROW(DataP[Total Impressions])-MIN(ROW(DataP[Total Impressions])),0,1)))))
/
SUM(
IF(DataP[Brand Safety 
'[% Failed by Content']]&lt;&gt;"NULL",
IF(DataP[Partner Type]=ColumnP[[#This Row],[Metric]],
SUBTOTAL(9,OFFSET(DataP[Total Impressions],ROW(DataP[Total Impressions])-MIN(ROW(DataP[Total Impressions])),0,1)))))</f>
        <v>#DIV/0!</v>
      </c>
      <c r="P11" s="32" t="e">
        <f t="array" aca="1" ref="P11" ca="1">SUM(
IF(DataP[Brand Safety 
'[% Failed by Geo']]&lt;&gt;"NULL",
IF(DataP[Partner Type]=ColumnP[[#This Row],[Metric]],
DataP[Brand Safety 
'[% Failed by Geo']]*
SUBTOTAL(9,OFFSET(DataP[Total Impressions],ROW(DataP[Total Impressions])-MIN(ROW(DataP[Total Impressions])),0,1)))))
/
SUM(
IF(DataP[Brand Safety 
'[% Failed by Geo']]&lt;&gt;"NULL",
IF(DataP[Partner Type]=ColumnP[[#This Row],[Metric]],
SUBTOTAL(9,OFFSET(DataP[Total Impressions],ROW(DataP[Total Impressions])-MIN(ROW(DataP[Total Impressions])),0,1)))))</f>
        <v>#DIV/0!</v>
      </c>
      <c r="Q11" s="32" t="e">
        <f t="array" aca="1" ref="Q11" ca="1">SUM(
IF(DataP[Brand Safety 
'[% Failed by Keyword']]&lt;&gt;"NULL",
IF(DataP[Partner Type]=ColumnP[[#This Row],[Metric]],
DataP[Brand Safety 
'[% Failed by Keyword']]*
SUBTOTAL(9,OFFSET(DataP[Total Impressions],ROW(DataP[Total Impressions])-MIN(ROW(DataP[Total Impressions])),0,1)))))
/
SUM(
IF(DataP[Brand Safety 
'[% Failed by Keyword']]&lt;&gt;"NULL",
IF(DataP[Partner Type]=ColumnP[[#This Row],[Metric]],
SUBTOTAL(9,OFFSET(DataP[Total Impressions],ROW(DataP[Total Impressions])-MIN(ROW(DataP[Total Impressions])),0,1)))))</f>
        <v>#DIV/0!</v>
      </c>
      <c r="R11" s="32" t="e">
        <f t="array" aca="1" ref="R11" ca="1">SUM(
IF(DataP[Brand Safety 
'[% Failed by Blacklist']]&lt;&gt;"NULL",
IF(DataP[Partner Type]=ColumnP[[#This Row],[Metric]],
DataP[Brand Safety 
'[% Failed by Blacklist']]*
SUBTOTAL(9,OFFSET(DataP[Total Impressions],ROW(DataP[Total Impressions])-MIN(ROW(DataP[Total Impressions])),0,1)))))
/
SUM(
IF(DataP[Brand Safety 
'[% Failed by Blacklist']]&lt;&gt;"NULL",
IF(DataP[Partner Type]=ColumnP[[#This Row],[Metric]],
SUBTOTAL(9,OFFSET(DataP[Total Impressions],ROW(DataP[Total Impressions])-MIN(ROW(DataP[Total Impressions])),0,1)))))</f>
        <v>#DIV/0!</v>
      </c>
      <c r="S11" s="32" t="e">
        <f t="array" aca="1" ref="S11" ca="1">SUM(
IF(DataP[Brand Safety 
'[% Failed by Language']]&lt;&gt;"NULL",
IF(DataP[Partner Type]=ColumnP[[#This Row],[Metric]],
DataP[Brand Safety 
'[% Failed by Language']]*
SUBTOTAL(9,OFFSET(DataP[Total Impressions],ROW(DataP[Total Impressions])-MIN(ROW(DataP[Total Impressions])),0,1)))))
/
SUM(
IF(DataP[Brand Safety 
'[% Failed by Language']]&lt;&gt;"NULL",
IF(DataP[Partner Type]=ColumnP[[#This Row],[Metric]],
SUBTOTAL(9,OFFSET(DataP[Total Impressions],ROW(DataP[Total Impressions])-MIN(ROW(DataP[Total Impressions])),0,1)))))</f>
        <v>#DIV/0!</v>
      </c>
      <c r="T11" s="32" t="e">
        <f t="array" aca="1" ref="T11" ca="1">SUM(
IF(DataP[Fraud 
'[% Fraud']]&lt;&gt;"NULL",
IF(DataP[Partner Type]=ColumnP[[#This Row],[Metric]],
DataP[Fraud 
'[% Fraud']]*
SUBTOTAL(9,OFFSET(DataP[Total Impressions],ROW(DataP[Total Impressions])-MIN(ROW(DataP[Total Impressions])),0,1)))))
/
SUM(
IF(DataP[Fraud 
'[% Fraud']]&lt;&gt;"NULL",
IF(DataP[Partner Type]=ColumnP[[#This Row],[Metric]],
SUBTOTAL(9,OFFSET(DataP[Total Impressions],ROW(DataP[Total Impressions])-MIN(ROW(DataP[Total Impressions])),0,1)))))</f>
        <v>#DIV/0!</v>
      </c>
      <c r="U11" s="32" t="e">
        <f t="array" aca="1" ref="U11" ca="1">SUM(
IF(DataP[Viewability 
'[Total Viewable Rate (Total Net Metrics)']]&lt;&gt;"NULL",
IF(DataP[Partner Type]=ColumnP[[#This Row],[Metric]],
DataP[Viewability 
'[Total Viewable Rate (Total Net Metrics)']]*
SUBTOTAL(9,OFFSET(DataP[Total Impressions],ROW(DataP[Total Impressions])-MIN(ROW(DataP[Total Impressions])),0,1)))))
/
SUM(
IF(DataP[Viewability 
'[Total Viewable Rate (Total Net Metrics)']]&lt;&gt;"NULL",
IF(DataP[Partner Type]=ColumnP[[#This Row],[Metric]],
SUBTOTAL(9,OFFSET(DataP[Total Impressions],ROW(DataP[Total Impressions])-MIN(ROW(DataP[Total Impressions])),0,1)))))</f>
        <v>#DIV/0!</v>
      </c>
      <c r="V11" s="32" t="e">
        <f t="array" aca="1" ref="V11" ca="1">SUM(
IF(DataP[Display Viewability 
'[Total Viewable Rate (Total Net Metrics)']]&lt;&gt;"NULL",
IF(DataP[Partner Type]=ColumnP[[#This Row],[Metric]],
DataP[Display Viewability 
'[Total Viewable Rate (Total Net Metrics)']]*
SUBTOTAL(9,OFFSET(DataP[Total Impressions],ROW(DataP[Total Impressions])-MIN(ROW(DataP[Total Impressions])),0,1)))))
/
SUM(
IF(DataP[Display Viewability 
'[Total Viewable Rate (Total Net Metrics)']]&lt;&gt;"NULL",
IF(DataP[Partner Type]=ColumnP[[#This Row],[Metric]],
SUBTOTAL(9,OFFSET(DataP[Total Impressions],ROW(DataP[Total Impressions])-MIN(ROW(DataP[Total Impressions])),0,1)))))</f>
        <v>#DIV/0!</v>
      </c>
      <c r="W11" s="32" t="e">
        <f t="array" aca="1" ref="W11" ca="1">SUM(
IF(DataP[Video Viewability 
'[Total Viewable Rate (Total Net Metrics)']]&lt;&gt;"NULL",
IF(DataP[Partner Type]=ColumnP[[#This Row],[Metric]],
DataP[Video Viewability 
'[Total Viewable Rate (Total Net Metrics)']]*
SUBTOTAL(9,OFFSET(DataP[Total Impressions],ROW(DataP[Total Impressions])-MIN(ROW(DataP[Total Impressions])),0,1)))))
/
SUM(
IF(DataP[Video Viewability 
'[Total Viewable Rate (Total Net Metrics)']]&lt;&gt;"NULL",
IF(DataP[Partner Type]=ColumnP[[#This Row],[Metric]],
SUBTOTAL(9,OFFSET(DataP[Total Impressions],ROW(DataP[Total Impressions])-MIN(ROW(DataP[Total Impressions])),0,1)))))</f>
        <v>#DIV/0!</v>
      </c>
      <c r="X11" s="32" t="e">
        <f t="array" aca="1" ref="X11" ca="1">SUM(
IF(DataP[GroupM Viewability 
'[% Display Ads Fully in View']]&lt;&gt;"NULL",
IF(DataP[Partner Type]=ColumnP[[#This Row],[Metric]],
DataP[GroupM Viewability 
'[% Display Ads Fully in View']]*
SUBTOTAL(9,OFFSET(DataP[Total Impressions],ROW(DataP[Total Impressions])-MIN(ROW(DataP[Total Impressions])),0,1)))))
/
SUM(
IF(DataP[GroupM Viewability 
'[% Display Ads Fully in View']]&lt;&gt;"NULL",
IF(DataP[Partner Type]=ColumnP[[#This Row],[Metric]],
SUBTOTAL(9,OFFSET(DataP[Total Impressions],ROW(DataP[Total Impressions])-MIN(ROW(DataP[Total Impressions])),0,1)))))</f>
        <v>#DIV/0!</v>
      </c>
      <c r="Y11" s="32" t="e">
        <f t="array" aca="1" ref="Y11" ca="1">SUM(
IF(DataP[GroupM Viewability 
'[% Videos Fully in View']]&lt;&gt;"NULL",
IF(DataP[Partner Type]=ColumnP[[#This Row],[Metric]],
DataP[GroupM Viewability 
'[% Videos Fully in View']]*
SUBTOTAL(9,OFFSET(DataP[Total Impressions],ROW(DataP[Total Impressions])-MIN(ROW(DataP[Total Impressions])),0,1)))))
/
SUM(
IF(DataP[GroupM Viewability 
'[% Videos Fully in View']]&lt;&gt;"NULL",
IF(DataP[Partner Type]=ColumnP[[#This Row],[Metric]],
SUBTOTAL(9,OFFSET(DataP[Total Impressions],ROW(DataP[Total Impressions])-MIN(ROW(DataP[Total Impressions])),0,1)))))</f>
        <v>#DIV/0!</v>
      </c>
      <c r="Z11" s="32" t="e">
        <f t="array" aca="1" ref="Z11" ca="1">SUM(
IF(DataP[Publicis Viewability 
'[% Display Ads Fully in View']]&lt;&gt;"NULL",
IF(DataP[Partner Type]=ColumnP[[#This Row],[Metric]],
DataP[Publicis Viewability 
'[% Display Ads Fully in View']]*
SUBTOTAL(9,OFFSET(DataP[Total Impressions],ROW(DataP[Total Impressions])-MIN(ROW(DataP[Total Impressions])),0,1)))))
/
SUM(
IF(DataP[Publicis Viewability 
'[% Display Ads Fully in View']]&lt;&gt;"NULL",
IF(DataP[Partner Type]=ColumnP[[#This Row],[Metric]],
SUBTOTAL(9,OFFSET(DataP[Total Impressions],ROW(DataP[Total Impressions])-MIN(ROW(DataP[Total Impressions])),0,1)))))</f>
        <v>#DIV/0!</v>
      </c>
      <c r="AA11" s="32" t="e">
        <f t="array" aca="1" ref="AA11" ca="1">SUM(
IF(DataP[Publicis Viewability 
'[% Videos Fully in View']]&lt;&gt;"NULL",
IF(DataP[Partner Type]=ColumnP[[#This Row],[Metric]],
DataP[Publicis Viewability 
'[% Videos Fully in View']]*
SUBTOTAL(9,OFFSET(DataP[Total Impressions],ROW(DataP[Total Impressions])-MIN(ROW(DataP[Total Impressions])),0,1)))))
/
SUM(
IF(DataP[Publicis Viewability 
'[% Videos Fully in View']]&lt;&gt;"NULL",
IF(DataP[Partner Type]=ColumnP[[#This Row],[Metric]],
SUBTOTAL(9,OFFSET(DataP[Total Impressions],ROW(DataP[Total Impressions])-MIN(ROW(DataP[Total Impressions])),0,1)))))</f>
        <v>#DIV/0!</v>
      </c>
      <c r="CX11" s="26"/>
    </row>
    <row r="12" spans="1:121" s="18" customFormat="1" ht="16.5" hidden="1" customHeight="1" x14ac:dyDescent="0.35">
      <c r="A12" s="36"/>
      <c r="B12" s="81"/>
      <c r="C12" s="81"/>
      <c r="D12" s="28"/>
      <c r="E12" s="60"/>
      <c r="F12" s="57"/>
      <c r="G12" s="227" t="s">
        <v>8</v>
      </c>
      <c r="H12" s="227"/>
      <c r="I12" s="27"/>
      <c r="J12" s="102" t="s">
        <v>7</v>
      </c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CQ12" s="75"/>
      <c r="CX12" s="26"/>
    </row>
    <row r="13" spans="1:121" s="18" customFormat="1" ht="15.75" hidden="1" customHeight="1" x14ac:dyDescent="0.35">
      <c r="A13" s="22"/>
      <c r="B13" s="80"/>
      <c r="C13" s="28"/>
      <c r="D13" s="28"/>
      <c r="E13" s="63"/>
      <c r="F13" s="57"/>
      <c r="G13" s="227" t="s">
        <v>8</v>
      </c>
      <c r="H13" s="227"/>
      <c r="I13" s="27"/>
      <c r="J13" s="106" t="s">
        <v>6</v>
      </c>
      <c r="K13" s="107">
        <v>0</v>
      </c>
      <c r="L13" s="107">
        <v>0</v>
      </c>
      <c r="M13" s="107">
        <v>0</v>
      </c>
      <c r="N13" s="107">
        <v>0</v>
      </c>
      <c r="O13" s="107">
        <v>0</v>
      </c>
      <c r="P13" s="107">
        <v>0</v>
      </c>
      <c r="Q13" s="107">
        <v>1</v>
      </c>
      <c r="R13" s="107">
        <v>0</v>
      </c>
      <c r="S13" s="107">
        <v>0</v>
      </c>
      <c r="T13" s="107">
        <v>0</v>
      </c>
      <c r="U13" s="107">
        <v>0</v>
      </c>
      <c r="V13" s="107">
        <v>0</v>
      </c>
      <c r="W13" s="107">
        <v>0</v>
      </c>
      <c r="X13" s="107">
        <v>0</v>
      </c>
      <c r="Y13" s="107">
        <v>0</v>
      </c>
      <c r="Z13" s="107">
        <v>0</v>
      </c>
      <c r="AA13" s="107">
        <v>0</v>
      </c>
      <c r="CQ13" s="75"/>
      <c r="CX13" s="26"/>
    </row>
    <row r="14" spans="1:121" s="18" customFormat="1" ht="15.75" customHeight="1" thickBot="1" x14ac:dyDescent="0.4">
      <c r="B14" s="35"/>
      <c r="C14" s="13" t="s">
        <v>21</v>
      </c>
      <c r="D14" s="13" t="s">
        <v>21</v>
      </c>
      <c r="E14" s="22"/>
      <c r="F14" s="13" t="s">
        <v>21</v>
      </c>
      <c r="G14" s="13"/>
      <c r="H14" s="35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146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40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>
        <v>7414</v>
      </c>
      <c r="C16" s="46" t="s">
        <v>165</v>
      </c>
      <c r="D16" s="46" t="s">
        <v>10</v>
      </c>
      <c r="E16" s="46" t="s">
        <v>200</v>
      </c>
      <c r="F16" s="46" t="s">
        <v>10</v>
      </c>
      <c r="G16" s="46" t="s">
        <v>10</v>
      </c>
      <c r="H16" s="46" t="s">
        <v>167</v>
      </c>
      <c r="I16" s="47">
        <v>22905213</v>
      </c>
      <c r="J16" s="48">
        <v>27472790</v>
      </c>
      <c r="K16" s="49">
        <v>0.88591497631399996</v>
      </c>
      <c r="L16" s="49">
        <v>0.99786829077100003</v>
      </c>
      <c r="M16" s="49">
        <v>0.94110812917099995</v>
      </c>
      <c r="N16" s="49">
        <v>5.8891870829300003E-2</v>
      </c>
      <c r="O16" s="49">
        <v>2.98943791293E-2</v>
      </c>
      <c r="P16" s="49">
        <v>5.6648050671199998E-3</v>
      </c>
      <c r="Q16" s="49">
        <v>0</v>
      </c>
      <c r="R16" s="49">
        <v>0</v>
      </c>
      <c r="S16" s="49">
        <v>0</v>
      </c>
      <c r="T16" s="49">
        <v>2.4678345373699999E-2</v>
      </c>
      <c r="U16" s="49">
        <v>0.58120489864000002</v>
      </c>
      <c r="V16" s="49">
        <v>0.58120489864000002</v>
      </c>
      <c r="W16" s="49" t="s">
        <v>168</v>
      </c>
      <c r="X16" s="49">
        <v>0</v>
      </c>
      <c r="Y16" s="49" t="s">
        <v>168</v>
      </c>
      <c r="Z16" s="49">
        <v>0</v>
      </c>
      <c r="AA16" s="49" t="s">
        <v>168</v>
      </c>
    </row>
    <row r="17" spans="2:65" ht="15" customHeight="1" x14ac:dyDescent="0.25">
      <c r="B17" s="261">
        <v>9263</v>
      </c>
      <c r="C17" s="264" t="s">
        <v>169</v>
      </c>
      <c r="D17" s="270" t="s">
        <v>10</v>
      </c>
      <c r="E17" s="264" t="s">
        <v>200</v>
      </c>
      <c r="F17" s="264" t="s">
        <v>10</v>
      </c>
      <c r="G17" s="264" t="s">
        <v>10</v>
      </c>
      <c r="H17" s="264" t="s">
        <v>167</v>
      </c>
      <c r="I17" s="265">
        <v>15203078</v>
      </c>
      <c r="J17" s="266">
        <v>17080128</v>
      </c>
      <c r="K17" s="267">
        <v>0.92183729361199995</v>
      </c>
      <c r="L17" s="267">
        <v>0.99385227089600003</v>
      </c>
      <c r="M17" s="267">
        <v>0.96557525798400001</v>
      </c>
      <c r="N17" s="267">
        <v>3.4424742016000001E-2</v>
      </c>
      <c r="O17" s="267">
        <v>1.62487658172E-2</v>
      </c>
      <c r="P17" s="267">
        <v>1.9818352649299999E-4</v>
      </c>
      <c r="Q17" s="267">
        <v>0</v>
      </c>
      <c r="R17" s="267">
        <v>2.6873334907099999E-5</v>
      </c>
      <c r="S17" s="267">
        <v>0</v>
      </c>
      <c r="T17" s="267">
        <v>1.8250214518300001E-2</v>
      </c>
      <c r="U17" s="267">
        <v>0.55090837526500003</v>
      </c>
      <c r="V17" s="268">
        <v>0.55090837526500003</v>
      </c>
      <c r="W17" s="269" t="s">
        <v>168</v>
      </c>
      <c r="X17" s="268">
        <v>0</v>
      </c>
      <c r="Y17" s="267" t="s">
        <v>168</v>
      </c>
      <c r="Z17" s="267">
        <v>0</v>
      </c>
      <c r="AA17" s="267" t="s">
        <v>168</v>
      </c>
    </row>
    <row r="18" spans="2:65" ht="15" customHeight="1" x14ac:dyDescent="0.25">
      <c r="B18" s="261">
        <v>6643</v>
      </c>
      <c r="C18" s="264" t="s">
        <v>171</v>
      </c>
      <c r="D18" s="270" t="s">
        <v>10</v>
      </c>
      <c r="E18" s="264" t="s">
        <v>200</v>
      </c>
      <c r="F18" s="264" t="s">
        <v>10</v>
      </c>
      <c r="G18" s="264" t="s">
        <v>10</v>
      </c>
      <c r="H18" s="264" t="s">
        <v>167</v>
      </c>
      <c r="I18" s="265">
        <v>9164482</v>
      </c>
      <c r="J18" s="266">
        <v>10982255</v>
      </c>
      <c r="K18" s="267">
        <v>0.89010630499900001</v>
      </c>
      <c r="L18" s="267">
        <v>0.95563552294099996</v>
      </c>
      <c r="M18" s="267">
        <v>0.93750700562</v>
      </c>
      <c r="N18" s="267">
        <v>6.2492994380500003E-2</v>
      </c>
      <c r="O18" s="267">
        <v>3.2838155734E-2</v>
      </c>
      <c r="P18" s="267">
        <v>1.2074023049E-4</v>
      </c>
      <c r="Q18" s="267">
        <v>0</v>
      </c>
      <c r="R18" s="267">
        <v>0</v>
      </c>
      <c r="S18" s="267">
        <v>0</v>
      </c>
      <c r="T18" s="267">
        <v>3.0351416899400002E-2</v>
      </c>
      <c r="U18" s="267">
        <v>0.52360678977800001</v>
      </c>
      <c r="V18" s="268">
        <v>0.52360678977800001</v>
      </c>
      <c r="W18" s="269" t="s">
        <v>168</v>
      </c>
      <c r="X18" s="268">
        <v>0</v>
      </c>
      <c r="Y18" s="267" t="s">
        <v>168</v>
      </c>
      <c r="Z18" s="267">
        <v>0</v>
      </c>
      <c r="AA18" s="267" t="s">
        <v>168</v>
      </c>
    </row>
    <row r="19" spans="2:65" ht="15" customHeight="1" x14ac:dyDescent="0.25">
      <c r="B19" s="261">
        <v>6631</v>
      </c>
      <c r="C19" s="264" t="s">
        <v>174</v>
      </c>
      <c r="D19" s="270" t="s">
        <v>10</v>
      </c>
      <c r="E19" s="264" t="s">
        <v>201</v>
      </c>
      <c r="F19" s="264" t="s">
        <v>10</v>
      </c>
      <c r="G19" s="264" t="s">
        <v>10</v>
      </c>
      <c r="H19" s="264" t="s">
        <v>167</v>
      </c>
      <c r="I19" s="265">
        <v>6876849</v>
      </c>
      <c r="J19" s="266">
        <v>11919007</v>
      </c>
      <c r="K19" s="267">
        <v>0.58168629967999996</v>
      </c>
      <c r="L19" s="267">
        <v>0.89128800746600001</v>
      </c>
      <c r="M19" s="267">
        <v>0.99188330034500005</v>
      </c>
      <c r="N19" s="267">
        <v>8.11669965459E-3</v>
      </c>
      <c r="O19" s="267">
        <v>4.6195962465699998E-3</v>
      </c>
      <c r="P19" s="267">
        <v>2.3122731616800001E-4</v>
      </c>
      <c r="Q19" s="267">
        <v>0</v>
      </c>
      <c r="R19" s="267">
        <v>0</v>
      </c>
      <c r="S19" s="267">
        <v>0</v>
      </c>
      <c r="T19" s="267">
        <v>3.46446646101E-3</v>
      </c>
      <c r="U19" s="267">
        <v>0.62171991852700004</v>
      </c>
      <c r="V19" s="268">
        <v>0.62171991852700004</v>
      </c>
      <c r="W19" s="269" t="s">
        <v>168</v>
      </c>
      <c r="X19" s="268">
        <v>0</v>
      </c>
      <c r="Y19" s="267" t="s">
        <v>168</v>
      </c>
      <c r="Z19" s="267">
        <v>0</v>
      </c>
      <c r="AA19" s="267" t="s">
        <v>168</v>
      </c>
    </row>
    <row r="20" spans="2:65" ht="15" customHeight="1" x14ac:dyDescent="0.25">
      <c r="B20" s="261">
        <v>6631</v>
      </c>
      <c r="C20" s="264" t="s">
        <v>174</v>
      </c>
      <c r="D20" s="270" t="s">
        <v>10</v>
      </c>
      <c r="E20" s="264" t="s">
        <v>200</v>
      </c>
      <c r="F20" s="264" t="s">
        <v>10</v>
      </c>
      <c r="G20" s="264" t="s">
        <v>10</v>
      </c>
      <c r="H20" s="264" t="s">
        <v>167</v>
      </c>
      <c r="I20" s="265">
        <v>4983175</v>
      </c>
      <c r="J20" s="266">
        <v>5519596</v>
      </c>
      <c r="K20" s="267">
        <v>0.94165123128399997</v>
      </c>
      <c r="L20" s="267">
        <v>0.99920447076200003</v>
      </c>
      <c r="M20" s="267">
        <v>0.95875748877300004</v>
      </c>
      <c r="N20" s="267">
        <v>4.1242511227300001E-2</v>
      </c>
      <c r="O20" s="267">
        <v>1.34609489535E-2</v>
      </c>
      <c r="P20" s="267">
        <v>3.7194751210099997E-4</v>
      </c>
      <c r="Q20" s="267">
        <v>0</v>
      </c>
      <c r="R20" s="267">
        <v>0</v>
      </c>
      <c r="S20" s="267">
        <v>0</v>
      </c>
      <c r="T20" s="267">
        <v>2.7773047157800001E-2</v>
      </c>
      <c r="U20" s="267">
        <v>0.72809002292699998</v>
      </c>
      <c r="V20" s="268">
        <v>0.72809002292699998</v>
      </c>
      <c r="W20" s="269" t="s">
        <v>168</v>
      </c>
      <c r="X20" s="268">
        <v>0</v>
      </c>
      <c r="Y20" s="267" t="s">
        <v>168</v>
      </c>
      <c r="Z20" s="267">
        <v>0</v>
      </c>
      <c r="AA20" s="267" t="s">
        <v>168</v>
      </c>
    </row>
    <row r="21" spans="2:65" ht="15" customHeight="1" x14ac:dyDescent="0.25">
      <c r="B21" s="261">
        <v>8218</v>
      </c>
      <c r="C21" s="264" t="s">
        <v>176</v>
      </c>
      <c r="D21" s="270" t="s">
        <v>10</v>
      </c>
      <c r="E21" s="264" t="s">
        <v>200</v>
      </c>
      <c r="F21" s="264" t="s">
        <v>10</v>
      </c>
      <c r="G21" s="264" t="s">
        <v>10</v>
      </c>
      <c r="H21" s="264" t="s">
        <v>167</v>
      </c>
      <c r="I21" s="265">
        <v>4228385</v>
      </c>
      <c r="J21" s="266">
        <v>5116243</v>
      </c>
      <c r="K21" s="267">
        <v>0.86165747180399999</v>
      </c>
      <c r="L21" s="267">
        <v>0.97858545811800002</v>
      </c>
      <c r="M21" s="267">
        <v>0.95915479385900004</v>
      </c>
      <c r="N21" s="267">
        <v>4.0845206140500002E-2</v>
      </c>
      <c r="O21" s="267">
        <v>1.3131315302999999E-2</v>
      </c>
      <c r="P21" s="267">
        <v>3.4752063183899999E-4</v>
      </c>
      <c r="Q21" s="267">
        <v>0</v>
      </c>
      <c r="R21" s="267">
        <v>7.1261275119299996E-3</v>
      </c>
      <c r="S21" s="267">
        <v>0</v>
      </c>
      <c r="T21" s="267">
        <v>2.0716764235000001E-2</v>
      </c>
      <c r="U21" s="267">
        <v>0.57987103823300001</v>
      </c>
      <c r="V21" s="268">
        <v>0.57987103823300001</v>
      </c>
      <c r="W21" s="269" t="s">
        <v>168</v>
      </c>
      <c r="X21" s="268">
        <v>0</v>
      </c>
      <c r="Y21" s="267" t="s">
        <v>168</v>
      </c>
      <c r="Z21" s="267">
        <v>0</v>
      </c>
      <c r="AA21" s="267" t="s">
        <v>168</v>
      </c>
    </row>
    <row r="22" spans="2:65" ht="15" customHeight="1" x14ac:dyDescent="0.25">
      <c r="B22" s="261">
        <v>8218</v>
      </c>
      <c r="C22" s="264" t="s">
        <v>176</v>
      </c>
      <c r="D22" s="270" t="s">
        <v>10</v>
      </c>
      <c r="E22" s="264" t="s">
        <v>202</v>
      </c>
      <c r="F22" s="264" t="s">
        <v>10</v>
      </c>
      <c r="G22" s="264" t="s">
        <v>10</v>
      </c>
      <c r="H22" s="264" t="s">
        <v>167</v>
      </c>
      <c r="I22" s="265">
        <v>2364798</v>
      </c>
      <c r="J22" s="266">
        <v>2601331</v>
      </c>
      <c r="K22" s="267">
        <v>0.95298347590999999</v>
      </c>
      <c r="L22" s="267">
        <v>0.99827857354600003</v>
      </c>
      <c r="M22" s="267">
        <v>0.95392243432299995</v>
      </c>
      <c r="N22" s="267">
        <v>4.6077565676999999E-2</v>
      </c>
      <c r="O22" s="267">
        <v>1.9176337036699999E-2</v>
      </c>
      <c r="P22" s="267">
        <v>5.2665347085800002E-4</v>
      </c>
      <c r="Q22" s="267">
        <v>0</v>
      </c>
      <c r="R22" s="267">
        <v>7.4515699847500002E-3</v>
      </c>
      <c r="S22" s="267">
        <v>0</v>
      </c>
      <c r="T22" s="267">
        <v>1.9587664929999998E-2</v>
      </c>
      <c r="U22" s="267">
        <v>0.58187041768500003</v>
      </c>
      <c r="V22" s="268">
        <v>0.58187041768500003</v>
      </c>
      <c r="W22" s="269" t="s">
        <v>168</v>
      </c>
      <c r="X22" s="268">
        <v>0</v>
      </c>
      <c r="Y22" s="267" t="s">
        <v>168</v>
      </c>
      <c r="Z22" s="267">
        <v>0</v>
      </c>
      <c r="AA22" s="267" t="s">
        <v>168</v>
      </c>
      <c r="BM22" s="14" t="e">
        <v>#VALUE!</v>
      </c>
    </row>
    <row r="23" spans="2:65" ht="15" customHeight="1" x14ac:dyDescent="0.25">
      <c r="B23" s="261">
        <v>9350</v>
      </c>
      <c r="C23" s="264" t="s">
        <v>179</v>
      </c>
      <c r="D23" s="270" t="s">
        <v>10</v>
      </c>
      <c r="E23" s="264" t="s">
        <v>200</v>
      </c>
      <c r="F23" s="264" t="s">
        <v>10</v>
      </c>
      <c r="G23" s="264" t="s">
        <v>10</v>
      </c>
      <c r="H23" s="264" t="s">
        <v>167</v>
      </c>
      <c r="I23" s="265">
        <v>1700783</v>
      </c>
      <c r="J23" s="266">
        <v>1960434</v>
      </c>
      <c r="K23" s="267">
        <v>0.95993820844</v>
      </c>
      <c r="L23" s="267">
        <v>0.99864264749499998</v>
      </c>
      <c r="M23" s="267">
        <v>0.90376059586799995</v>
      </c>
      <c r="N23" s="267">
        <v>9.6239404131900005E-2</v>
      </c>
      <c r="O23" s="267">
        <v>6.8783748904599998E-2</v>
      </c>
      <c r="P23" s="267">
        <v>5.02949857021E-4</v>
      </c>
      <c r="Q23" s="267">
        <v>0</v>
      </c>
      <c r="R23" s="267">
        <v>0</v>
      </c>
      <c r="S23" s="267">
        <v>0</v>
      </c>
      <c r="T23" s="267">
        <v>2.8798725180200001E-2</v>
      </c>
      <c r="U23" s="267">
        <v>0.57931023534500004</v>
      </c>
      <c r="V23" s="268">
        <v>0.57931023534500004</v>
      </c>
      <c r="W23" s="269" t="s">
        <v>168</v>
      </c>
      <c r="X23" s="268">
        <v>0</v>
      </c>
      <c r="Y23" s="267" t="s">
        <v>168</v>
      </c>
      <c r="Z23" s="267">
        <v>0</v>
      </c>
      <c r="AA23" s="267" t="s">
        <v>168</v>
      </c>
    </row>
    <row r="24" spans="2:65" ht="15" customHeight="1" x14ac:dyDescent="0.25">
      <c r="B24" s="261">
        <v>6643</v>
      </c>
      <c r="C24" s="264" t="s">
        <v>171</v>
      </c>
      <c r="D24" s="270" t="s">
        <v>10</v>
      </c>
      <c r="E24" s="264" t="s">
        <v>201</v>
      </c>
      <c r="F24" s="264" t="s">
        <v>10</v>
      </c>
      <c r="G24" s="264" t="s">
        <v>10</v>
      </c>
      <c r="H24" s="264" t="s">
        <v>167</v>
      </c>
      <c r="I24" s="265">
        <v>1350682</v>
      </c>
      <c r="J24" s="266">
        <v>1874246</v>
      </c>
      <c r="K24" s="267">
        <v>0.73771317338300002</v>
      </c>
      <c r="L24" s="267">
        <v>0.78841091297499999</v>
      </c>
      <c r="M24" s="267">
        <v>0.97687496732000001</v>
      </c>
      <c r="N24" s="267">
        <v>2.3125032679800001E-2</v>
      </c>
      <c r="O24" s="267">
        <v>1.7166369836199999E-2</v>
      </c>
      <c r="P24" s="267">
        <v>2.3689526348200001E-4</v>
      </c>
      <c r="Q24" s="267">
        <v>0</v>
      </c>
      <c r="R24" s="267">
        <v>0</v>
      </c>
      <c r="S24" s="267">
        <v>0</v>
      </c>
      <c r="T24" s="267">
        <v>6.0584362991799997E-3</v>
      </c>
      <c r="U24" s="267">
        <v>0.44511143259500002</v>
      </c>
      <c r="V24" s="268">
        <v>0.44511143259500002</v>
      </c>
      <c r="W24" s="269" t="s">
        <v>168</v>
      </c>
      <c r="X24" s="268">
        <v>0</v>
      </c>
      <c r="Y24" s="267" t="s">
        <v>168</v>
      </c>
      <c r="Z24" s="267">
        <v>0</v>
      </c>
      <c r="AA24" s="267" t="s">
        <v>168</v>
      </c>
    </row>
    <row r="25" spans="2:65" ht="15" customHeight="1" x14ac:dyDescent="0.25">
      <c r="B25" s="261">
        <v>7414</v>
      </c>
      <c r="C25" s="264" t="s">
        <v>165</v>
      </c>
      <c r="D25" s="270" t="s">
        <v>10</v>
      </c>
      <c r="E25" s="264" t="s">
        <v>202</v>
      </c>
      <c r="F25" s="264" t="s">
        <v>10</v>
      </c>
      <c r="G25" s="264" t="s">
        <v>10</v>
      </c>
      <c r="H25" s="264" t="s">
        <v>167</v>
      </c>
      <c r="I25" s="265">
        <v>1098994</v>
      </c>
      <c r="J25" s="266">
        <v>1206780</v>
      </c>
      <c r="K25" s="267">
        <v>0.94457408414900002</v>
      </c>
      <c r="L25" s="267">
        <v>0.99640365269599995</v>
      </c>
      <c r="M25" s="267">
        <v>0.96412022075299997</v>
      </c>
      <c r="N25" s="267">
        <v>3.58797792473E-2</v>
      </c>
      <c r="O25" s="267">
        <v>1.72400934719E-2</v>
      </c>
      <c r="P25" s="267">
        <v>8.0379190904699999E-4</v>
      </c>
      <c r="Q25" s="267">
        <v>0</v>
      </c>
      <c r="R25" s="267">
        <v>0</v>
      </c>
      <c r="S25" s="267">
        <v>0</v>
      </c>
      <c r="T25" s="267">
        <v>1.8693548119800001E-2</v>
      </c>
      <c r="U25" s="267">
        <v>0.56058540811000002</v>
      </c>
      <c r="V25" s="268">
        <v>0.56058540811000002</v>
      </c>
      <c r="W25" s="269" t="s">
        <v>168</v>
      </c>
      <c r="X25" s="268">
        <v>0</v>
      </c>
      <c r="Y25" s="267" t="s">
        <v>168</v>
      </c>
      <c r="Z25" s="267">
        <v>0</v>
      </c>
      <c r="AA25" s="267" t="s">
        <v>168</v>
      </c>
    </row>
    <row r="26" spans="2:65" ht="15" customHeight="1" x14ac:dyDescent="0.25">
      <c r="B26" s="261">
        <v>6643</v>
      </c>
      <c r="C26" s="264" t="s">
        <v>171</v>
      </c>
      <c r="D26" s="270" t="s">
        <v>10</v>
      </c>
      <c r="E26" s="264" t="s">
        <v>202</v>
      </c>
      <c r="F26" s="264" t="s">
        <v>10</v>
      </c>
      <c r="G26" s="264" t="s">
        <v>10</v>
      </c>
      <c r="H26" s="264" t="s">
        <v>167</v>
      </c>
      <c r="I26" s="265">
        <v>926826</v>
      </c>
      <c r="J26" s="266">
        <v>1014321</v>
      </c>
      <c r="K26" s="267">
        <v>0.97053806385800001</v>
      </c>
      <c r="L26" s="267">
        <v>0.97225335963699999</v>
      </c>
      <c r="M26" s="267">
        <v>0.94147809224099999</v>
      </c>
      <c r="N26" s="267">
        <v>5.8521907759E-2</v>
      </c>
      <c r="O26" s="267">
        <v>2.4627312261100001E-2</v>
      </c>
      <c r="P26" s="267">
        <v>1.07461050299E-4</v>
      </c>
      <c r="Q26" s="267">
        <v>0</v>
      </c>
      <c r="R26" s="267">
        <v>0</v>
      </c>
      <c r="S26" s="267">
        <v>0</v>
      </c>
      <c r="T26" s="267">
        <v>3.4615274651700001E-2</v>
      </c>
      <c r="U26" s="267">
        <v>0.51595121414400003</v>
      </c>
      <c r="V26" s="268">
        <v>0.51595121414400003</v>
      </c>
      <c r="W26" s="269" t="s">
        <v>168</v>
      </c>
      <c r="X26" s="268">
        <v>0</v>
      </c>
      <c r="Y26" s="267" t="s">
        <v>168</v>
      </c>
      <c r="Z26" s="267">
        <v>0</v>
      </c>
      <c r="AA26" s="267" t="s">
        <v>168</v>
      </c>
    </row>
    <row r="27" spans="2:65" ht="15" customHeight="1" x14ac:dyDescent="0.25">
      <c r="B27" s="261">
        <v>6643</v>
      </c>
      <c r="C27" s="264" t="s">
        <v>171</v>
      </c>
      <c r="D27" s="270" t="s">
        <v>10</v>
      </c>
      <c r="E27" s="264" t="s">
        <v>203</v>
      </c>
      <c r="F27" s="264" t="s">
        <v>10</v>
      </c>
      <c r="G27" s="264" t="s">
        <v>10</v>
      </c>
      <c r="H27" s="264" t="s">
        <v>167</v>
      </c>
      <c r="I27" s="265">
        <v>669440</v>
      </c>
      <c r="J27" s="266">
        <v>1097126</v>
      </c>
      <c r="K27" s="267">
        <v>0.62014527243899997</v>
      </c>
      <c r="L27" s="267">
        <v>0.79009612387299999</v>
      </c>
      <c r="M27" s="267">
        <v>0.98392436238000003</v>
      </c>
      <c r="N27" s="267">
        <v>1.6075637620499999E-2</v>
      </c>
      <c r="O27" s="267">
        <v>1.08155307595E-2</v>
      </c>
      <c r="P27" s="267">
        <v>2.49743420537E-4</v>
      </c>
      <c r="Q27" s="267">
        <v>0</v>
      </c>
      <c r="R27" s="267">
        <v>0</v>
      </c>
      <c r="S27" s="267">
        <v>0</v>
      </c>
      <c r="T27" s="267">
        <v>5.32937875868E-3</v>
      </c>
      <c r="U27" s="267">
        <v>0.48390744502900002</v>
      </c>
      <c r="V27" s="268">
        <v>0.48390744502900002</v>
      </c>
      <c r="W27" s="269" t="s">
        <v>168</v>
      </c>
      <c r="X27" s="268">
        <v>0</v>
      </c>
      <c r="Y27" s="267" t="s">
        <v>168</v>
      </c>
      <c r="Z27" s="267">
        <v>0</v>
      </c>
      <c r="AA27" s="267" t="s">
        <v>168</v>
      </c>
    </row>
    <row r="28" spans="2:65" ht="15" customHeight="1" x14ac:dyDescent="0.25">
      <c r="B28" s="261">
        <v>9350</v>
      </c>
      <c r="C28" s="264" t="s">
        <v>179</v>
      </c>
      <c r="D28" s="270" t="s">
        <v>10</v>
      </c>
      <c r="E28" s="264" t="s">
        <v>201</v>
      </c>
      <c r="F28" s="264" t="s">
        <v>10</v>
      </c>
      <c r="G28" s="264" t="s">
        <v>10</v>
      </c>
      <c r="H28" s="264" t="s">
        <v>167</v>
      </c>
      <c r="I28" s="265">
        <v>265836</v>
      </c>
      <c r="J28" s="266">
        <v>304186</v>
      </c>
      <c r="K28" s="267">
        <v>0.92772215378300005</v>
      </c>
      <c r="L28" s="267">
        <v>0.99700183440400003</v>
      </c>
      <c r="M28" s="267">
        <v>0.94201245290699998</v>
      </c>
      <c r="N28" s="267">
        <v>5.7987547092900001E-2</v>
      </c>
      <c r="O28" s="267">
        <v>4.7760251951100001E-2</v>
      </c>
      <c r="P28" s="267">
        <v>6.5091753072100001E-4</v>
      </c>
      <c r="Q28" s="267">
        <v>0</v>
      </c>
      <c r="R28" s="267">
        <v>0</v>
      </c>
      <c r="S28" s="267">
        <v>0</v>
      </c>
      <c r="T28" s="267">
        <v>1.0444267651999999E-2</v>
      </c>
      <c r="U28" s="267">
        <v>0.59661972042900002</v>
      </c>
      <c r="V28" s="268">
        <v>0.59661972042900002</v>
      </c>
      <c r="W28" s="269" t="s">
        <v>168</v>
      </c>
      <c r="X28" s="268">
        <v>0</v>
      </c>
      <c r="Y28" s="267" t="s">
        <v>168</v>
      </c>
      <c r="Z28" s="267">
        <v>0</v>
      </c>
      <c r="AA28" s="267" t="s">
        <v>168</v>
      </c>
    </row>
    <row r="29" spans="2:65" ht="15" customHeight="1" x14ac:dyDescent="0.25">
      <c r="B29" s="261">
        <v>9350</v>
      </c>
      <c r="C29" s="264" t="s">
        <v>179</v>
      </c>
      <c r="D29" s="270" t="s">
        <v>10</v>
      </c>
      <c r="E29" s="264" t="s">
        <v>202</v>
      </c>
      <c r="F29" s="264" t="s">
        <v>10</v>
      </c>
      <c r="G29" s="264" t="s">
        <v>10</v>
      </c>
      <c r="H29" s="264" t="s">
        <v>167</v>
      </c>
      <c r="I29" s="265">
        <v>237542</v>
      </c>
      <c r="J29" s="266">
        <v>275909</v>
      </c>
      <c r="K29" s="267">
        <v>0.94219701326799998</v>
      </c>
      <c r="L29" s="267">
        <v>0.99939110358899996</v>
      </c>
      <c r="M29" s="267">
        <v>0.91376142133799998</v>
      </c>
      <c r="N29" s="267">
        <v>8.62385786618E-2</v>
      </c>
      <c r="O29" s="267">
        <v>5.6373659431199999E-2</v>
      </c>
      <c r="P29" s="267">
        <v>1.15980268857E-4</v>
      </c>
      <c r="Q29" s="267">
        <v>0</v>
      </c>
      <c r="R29" s="267">
        <v>0</v>
      </c>
      <c r="S29" s="267">
        <v>0</v>
      </c>
      <c r="T29" s="267">
        <v>3.0705776179799998E-2</v>
      </c>
      <c r="U29" s="267">
        <v>0.60143890343600004</v>
      </c>
      <c r="V29" s="268">
        <v>0.60143890343600004</v>
      </c>
      <c r="W29" s="269" t="s">
        <v>168</v>
      </c>
      <c r="X29" s="268">
        <v>0</v>
      </c>
      <c r="Y29" s="267" t="s">
        <v>168</v>
      </c>
      <c r="Z29" s="267">
        <v>0</v>
      </c>
      <c r="AA29" s="267" t="s">
        <v>168</v>
      </c>
    </row>
    <row r="30" spans="2:65" ht="15" customHeight="1" x14ac:dyDescent="0.25">
      <c r="B30" s="261">
        <v>8218</v>
      </c>
      <c r="C30" s="264" t="s">
        <v>176</v>
      </c>
      <c r="D30" s="270" t="s">
        <v>10</v>
      </c>
      <c r="E30" s="264" t="s">
        <v>204</v>
      </c>
      <c r="F30" s="264" t="s">
        <v>10</v>
      </c>
      <c r="G30" s="264" t="s">
        <v>10</v>
      </c>
      <c r="H30" s="264" t="s">
        <v>205</v>
      </c>
      <c r="I30" s="265">
        <v>159279</v>
      </c>
      <c r="J30" s="266">
        <v>177696</v>
      </c>
      <c r="K30" s="267">
        <v>0.91034778384199999</v>
      </c>
      <c r="L30" s="267">
        <v>0.974788402665</v>
      </c>
      <c r="M30" s="267">
        <v>0.98226746803499998</v>
      </c>
      <c r="N30" s="267">
        <v>1.77325319647E-2</v>
      </c>
      <c r="O30" s="267">
        <v>2.2510354763200001E-5</v>
      </c>
      <c r="P30" s="267">
        <v>2.3917251935899999E-3</v>
      </c>
      <c r="Q30" s="267">
        <v>0</v>
      </c>
      <c r="R30" s="267">
        <v>0</v>
      </c>
      <c r="S30" s="267">
        <v>0</v>
      </c>
      <c r="T30" s="267">
        <v>1.5357689537200001E-2</v>
      </c>
      <c r="U30" s="267">
        <v>0.32532223331400001</v>
      </c>
      <c r="V30" s="268">
        <v>0.32532223331400001</v>
      </c>
      <c r="W30" s="269" t="s">
        <v>168</v>
      </c>
      <c r="X30" s="268">
        <v>0</v>
      </c>
      <c r="Y30" s="267" t="s">
        <v>168</v>
      </c>
      <c r="Z30" s="267">
        <v>0</v>
      </c>
      <c r="AA30" s="267" t="s">
        <v>168</v>
      </c>
    </row>
    <row r="31" spans="2:65" ht="15" customHeight="1" x14ac:dyDescent="0.25">
      <c r="B31" s="261">
        <v>9263</v>
      </c>
      <c r="C31" s="264" t="s">
        <v>169</v>
      </c>
      <c r="D31" s="270" t="s">
        <v>10</v>
      </c>
      <c r="E31" s="264" t="s">
        <v>202</v>
      </c>
      <c r="F31" s="264" t="s">
        <v>10</v>
      </c>
      <c r="G31" s="264" t="s">
        <v>10</v>
      </c>
      <c r="H31" s="264" t="s">
        <v>167</v>
      </c>
      <c r="I31" s="265">
        <v>153173</v>
      </c>
      <c r="J31" s="266">
        <v>166530</v>
      </c>
      <c r="K31" s="267">
        <v>0.955456167272</v>
      </c>
      <c r="L31" s="267">
        <v>0.99793430613099998</v>
      </c>
      <c r="M31" s="267">
        <v>0.96267339218199999</v>
      </c>
      <c r="N31" s="267">
        <v>3.7326607818399998E-2</v>
      </c>
      <c r="O31" s="267">
        <v>1.24001681379E-2</v>
      </c>
      <c r="P31" s="267">
        <v>8.04659821053E-4</v>
      </c>
      <c r="Q31" s="267">
        <v>0</v>
      </c>
      <c r="R31" s="267">
        <v>1.7174082747899999E-3</v>
      </c>
      <c r="S31" s="267">
        <v>0</v>
      </c>
      <c r="T31" s="267">
        <v>2.3227046177900001E-2</v>
      </c>
      <c r="U31" s="267">
        <v>0.58125126491000001</v>
      </c>
      <c r="V31" s="268">
        <v>0.58125126491000001</v>
      </c>
      <c r="W31" s="269" t="s">
        <v>168</v>
      </c>
      <c r="X31" s="268">
        <v>0</v>
      </c>
      <c r="Y31" s="267" t="s">
        <v>168</v>
      </c>
      <c r="Z31" s="267">
        <v>0</v>
      </c>
      <c r="AA31" s="267" t="s">
        <v>168</v>
      </c>
    </row>
    <row r="32" spans="2:65" ht="15" customHeight="1" x14ac:dyDescent="0.25">
      <c r="B32" s="261">
        <v>9263</v>
      </c>
      <c r="C32" s="264" t="s">
        <v>169</v>
      </c>
      <c r="D32" s="270" t="s">
        <v>10</v>
      </c>
      <c r="E32" s="264" t="s">
        <v>206</v>
      </c>
      <c r="F32" s="264" t="s">
        <v>10</v>
      </c>
      <c r="G32" s="264" t="s">
        <v>10</v>
      </c>
      <c r="H32" s="264" t="s">
        <v>167</v>
      </c>
      <c r="I32" s="265">
        <v>90729</v>
      </c>
      <c r="J32" s="266">
        <v>98086</v>
      </c>
      <c r="K32" s="267">
        <v>0.94140657425100005</v>
      </c>
      <c r="L32" s="267">
        <v>0.90904920172100001</v>
      </c>
      <c r="M32" s="267">
        <v>0.98256631935200001</v>
      </c>
      <c r="N32" s="267">
        <v>1.7433680647600001E-2</v>
      </c>
      <c r="O32" s="267">
        <v>0</v>
      </c>
      <c r="P32" s="267">
        <v>2.0390269763299999E-5</v>
      </c>
      <c r="Q32" s="267">
        <v>0</v>
      </c>
      <c r="R32" s="267">
        <v>0</v>
      </c>
      <c r="S32" s="267">
        <v>0</v>
      </c>
      <c r="T32" s="267">
        <v>1.7413290377800001E-2</v>
      </c>
      <c r="U32" s="267">
        <v>0.37419127291199999</v>
      </c>
      <c r="V32" s="268">
        <v>0.37419127291199999</v>
      </c>
      <c r="W32" s="269" t="s">
        <v>168</v>
      </c>
      <c r="X32" s="268">
        <v>0</v>
      </c>
      <c r="Y32" s="267" t="s">
        <v>168</v>
      </c>
      <c r="Z32" s="267">
        <v>0</v>
      </c>
      <c r="AA32" s="267" t="s">
        <v>168</v>
      </c>
    </row>
    <row r="33" spans="2:27" ht="15" customHeight="1" x14ac:dyDescent="0.25">
      <c r="B33" s="261">
        <v>8218</v>
      </c>
      <c r="C33" s="264" t="s">
        <v>176</v>
      </c>
      <c r="D33" s="270" t="s">
        <v>10</v>
      </c>
      <c r="E33" s="264" t="s">
        <v>207</v>
      </c>
      <c r="F33" s="264" t="s">
        <v>10</v>
      </c>
      <c r="G33" s="264" t="s">
        <v>10</v>
      </c>
      <c r="H33" s="264" t="s">
        <v>167</v>
      </c>
      <c r="I33" s="265">
        <v>65055</v>
      </c>
      <c r="J33" s="266">
        <v>79710</v>
      </c>
      <c r="K33" s="267">
        <v>0.85660675488799998</v>
      </c>
      <c r="L33" s="267">
        <v>0.98281269602300003</v>
      </c>
      <c r="M33" s="267">
        <v>0.95276627775699996</v>
      </c>
      <c r="N33" s="267">
        <v>4.7233722243099997E-2</v>
      </c>
      <c r="O33" s="267">
        <v>6.9125580228300001E-3</v>
      </c>
      <c r="P33" s="267">
        <v>1.9194580353799999E-3</v>
      </c>
      <c r="Q33" s="267">
        <v>0</v>
      </c>
      <c r="R33" s="267">
        <v>0</v>
      </c>
      <c r="S33" s="267">
        <v>0</v>
      </c>
      <c r="T33" s="267">
        <v>3.8715343118799997E-2</v>
      </c>
      <c r="U33" s="267">
        <v>0.26934132656999998</v>
      </c>
      <c r="V33" s="268">
        <v>0.26934132656999998</v>
      </c>
      <c r="W33" s="269" t="s">
        <v>168</v>
      </c>
      <c r="X33" s="268">
        <v>0</v>
      </c>
      <c r="Y33" s="267" t="s">
        <v>168</v>
      </c>
      <c r="Z33" s="267">
        <v>0</v>
      </c>
      <c r="AA33" s="267" t="s">
        <v>168</v>
      </c>
    </row>
    <row r="34" spans="2:27" ht="15" customHeight="1" x14ac:dyDescent="0.25">
      <c r="B34" s="261">
        <v>9263</v>
      </c>
      <c r="C34" s="264" t="s">
        <v>169</v>
      </c>
      <c r="D34" s="270" t="s">
        <v>10</v>
      </c>
      <c r="E34" s="264" t="s">
        <v>201</v>
      </c>
      <c r="F34" s="264" t="s">
        <v>10</v>
      </c>
      <c r="G34" s="264" t="s">
        <v>10</v>
      </c>
      <c r="H34" s="264" t="s">
        <v>167</v>
      </c>
      <c r="I34" s="265">
        <v>51044</v>
      </c>
      <c r="J34" s="266">
        <v>64174</v>
      </c>
      <c r="K34" s="267">
        <v>0.82299829092900001</v>
      </c>
      <c r="L34" s="267">
        <v>0.94489980365899995</v>
      </c>
      <c r="M34" s="267">
        <v>0.96646617010000002</v>
      </c>
      <c r="N34" s="267">
        <v>3.3533829899999999E-2</v>
      </c>
      <c r="O34" s="267">
        <v>1.2995917349700001E-2</v>
      </c>
      <c r="P34" s="267">
        <v>3.7398323308500002E-4</v>
      </c>
      <c r="Q34" s="267">
        <v>0</v>
      </c>
      <c r="R34" s="267">
        <v>1.5270982017599999E-3</v>
      </c>
      <c r="S34" s="267">
        <v>0</v>
      </c>
      <c r="T34" s="267">
        <v>1.90575622526E-2</v>
      </c>
      <c r="U34" s="267">
        <v>0.50816942245899999</v>
      </c>
      <c r="V34" s="268">
        <v>0.50816942245899999</v>
      </c>
      <c r="W34" s="269" t="s">
        <v>168</v>
      </c>
      <c r="X34" s="268">
        <v>0</v>
      </c>
      <c r="Y34" s="267" t="s">
        <v>168</v>
      </c>
      <c r="Z34" s="267">
        <v>0</v>
      </c>
      <c r="AA34" s="267" t="s">
        <v>168</v>
      </c>
    </row>
    <row r="35" spans="2:27" ht="15" customHeight="1" x14ac:dyDescent="0.25">
      <c r="B35" s="261">
        <v>9263</v>
      </c>
      <c r="C35" s="264" t="s">
        <v>169</v>
      </c>
      <c r="D35" s="270" t="s">
        <v>10</v>
      </c>
      <c r="E35" s="264" t="s">
        <v>203</v>
      </c>
      <c r="F35" s="264" t="s">
        <v>10</v>
      </c>
      <c r="G35" s="264" t="s">
        <v>10</v>
      </c>
      <c r="H35" s="264" t="s">
        <v>167</v>
      </c>
      <c r="I35" s="265">
        <v>48180</v>
      </c>
      <c r="J35" s="266">
        <v>52992</v>
      </c>
      <c r="K35" s="267">
        <v>0.94741809887100004</v>
      </c>
      <c r="L35" s="267">
        <v>0.996980676329</v>
      </c>
      <c r="M35" s="267">
        <v>0.95965428744000003</v>
      </c>
      <c r="N35" s="267">
        <v>4.0345712560400003E-2</v>
      </c>
      <c r="O35" s="267">
        <v>1.87009359903E-2</v>
      </c>
      <c r="P35" s="267">
        <v>2.0757850241499999E-4</v>
      </c>
      <c r="Q35" s="267">
        <v>0</v>
      </c>
      <c r="R35" s="267">
        <v>4.0383454106300001E-3</v>
      </c>
      <c r="S35" s="267">
        <v>0</v>
      </c>
      <c r="T35" s="267">
        <v>1.773852657E-2</v>
      </c>
      <c r="U35" s="267">
        <v>0.54887920298899995</v>
      </c>
      <c r="V35" s="268">
        <v>0.54887920298899995</v>
      </c>
      <c r="W35" s="269" t="s">
        <v>168</v>
      </c>
      <c r="X35" s="268">
        <v>0</v>
      </c>
      <c r="Y35" s="267" t="s">
        <v>168</v>
      </c>
      <c r="Z35" s="267">
        <v>0</v>
      </c>
      <c r="AA35" s="267" t="s">
        <v>168</v>
      </c>
    </row>
  </sheetData>
  <sheetProtection formatCells="0" insertColumns="0" insertRows="0" insertHyperlinks="0" deleteColumns="0" deleteRows="0" selectLockedCells="1" sort="0" autoFilter="0" pivotTables="0"/>
  <mergeCells count="6">
    <mergeCell ref="G13:H13"/>
    <mergeCell ref="B9:E9"/>
    <mergeCell ref="G6:H6"/>
    <mergeCell ref="G7:H7"/>
    <mergeCell ref="G8:H8"/>
    <mergeCell ref="G12:H12"/>
  </mergeCells>
  <conditionalFormatting sqref="K16:AA35">
    <cfRule type="cellIs" dxfId="430" priority="32" operator="equal">
      <formula>""</formula>
    </cfRule>
  </conditionalFormatting>
  <conditionalFormatting sqref="A9:G9 A1:XFD6 I9:XFD9 A8:XFD8 A7:J7 AB7:XFD7 A10:XFD1048576">
    <cfRule type="expression" dxfId="429" priority="31">
      <formula>ISERROR(A1)</formula>
    </cfRule>
  </conditionalFormatting>
  <conditionalFormatting sqref="K16:AA35 K9:AA11">
    <cfRule type="expression" dxfId="428" priority="35">
      <formula>IF(K$7="N/A",0,IF(K$7="Above",K9&lt;=(1-$J$4)*K$8,K9&gt;=(1+$J$4)*K$8))</formula>
    </cfRule>
    <cfRule type="expression" dxfId="427" priority="36">
      <formula>IF(OR(K$7="N/A",K9=0),0,IF(K$7="Above",K9&gt;=(1+$J$3)*K$8,K9&lt;=(1-$J$3)*K$8))</formula>
    </cfRule>
  </conditionalFormatting>
  <conditionalFormatting sqref="H9">
    <cfRule type="expression" dxfId="426" priority="2">
      <formula>ISERROR(H9)</formula>
    </cfRule>
  </conditionalFormatting>
  <conditionalFormatting sqref="K7:AA7">
    <cfRule type="expression" dxfId="425" priority="1">
      <formula>ISERROR(K7)</formula>
    </cfRule>
  </conditionalFormatting>
  <dataValidations disablePrompts="1" count="8">
    <dataValidation allowBlank="1" showInputMessage="1" showErrorMessage="1" errorTitle="Invalid Entry" error="Please select/enter a value from 1 to 5 from the dropdown." sqref="AB12:XFD13 K10:AA11 J11 G9:G11 J9 A12:D13 H9" xr:uid="{00000000-0002-0000-0200-000000000000}"/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200-000002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200-000003000000}"/>
    <dataValidation allowBlank="1" showInputMessage="1" showErrorMessage="1" prompt="Cell will highlight red if performance deviates by more than this percentage of the client goal." sqref="J4" xr:uid="{00000000-0002-0000-0200-000004000000}"/>
    <dataValidation type="list" allowBlank="1" showInputMessage="1" showErrorMessage="1" errorTitle="Invalid Entry" error="Please select/enter a value from 1 to 5 from the dropdown." sqref="K13:AA13" xr:uid="{00000000-0002-0000-0200-000005000000}">
      <formula1>"0,1,2,3,4,5"</formula1>
    </dataValidation>
    <dataValidation type="list" allowBlank="1" showInputMessage="1" showErrorMessage="1" errorTitle="Invalid Entry" error="Please select/enter a value from 1 to 5 from the dropdown." sqref="J10" xr:uid="{00000000-0002-0000-0200-000006000000}">
      <formula1>DeviceDropdown</formula1>
    </dataValidation>
    <dataValidation type="list" allowBlank="1" showInputMessage="1" showErrorMessage="1" sqref="B15" xr:uid="{00000000-0002-0000-0200-000007000000}">
      <formula1>"Region (Team), Partner Type"</formula1>
    </dataValidation>
    <dataValidation type="list" allowBlank="1" showInputMessage="1" showErrorMessage="1" sqref="X18" xr:uid="{00000000-0002-0000-0200-000001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3" operator="containsText" id="{F74252C3-2457-43AB-9B8C-FA84572E4EB1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K16:AA35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Q65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E18" sqref="B17:AA220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5" width="30.453125" style="50" customWidth="1"/>
    <col min="6" max="6" width="16.26953125" style="50" hidden="1" customWidth="1"/>
    <col min="7" max="7" width="18.54296875" style="50" hidden="1" customWidth="1"/>
    <col min="8" max="8" width="21.7265625" style="50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1"/>
      <c r="E1" s="52"/>
      <c r="F1" s="13" t="s">
        <v>21</v>
      </c>
      <c r="G1" s="13" t="s">
        <v>21</v>
      </c>
      <c r="H1" s="11"/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1"/>
      <c r="E2" s="52"/>
      <c r="F2" s="16"/>
      <c r="G2" s="16"/>
      <c r="H2" s="11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1"/>
      <c r="E3" s="52"/>
      <c r="F3" s="16"/>
      <c r="G3" s="16"/>
      <c r="H3" s="11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1"/>
      <c r="E4" s="52"/>
      <c r="F4" s="16"/>
      <c r="G4" s="16"/>
      <c r="H4" s="11"/>
      <c r="I4" s="16"/>
      <c r="J4" s="77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1"/>
      <c r="E5" s="52"/>
      <c r="F5" s="16"/>
      <c r="G5" s="16"/>
      <c r="H5" s="11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6" t="s">
        <v>155</v>
      </c>
      <c r="C6" s="76"/>
      <c r="D6" s="237" t="s">
        <v>155</v>
      </c>
      <c r="E6" s="237"/>
      <c r="F6" s="28"/>
      <c r="G6" s="219" t="s">
        <v>133</v>
      </c>
      <c r="H6" s="220"/>
      <c r="I6" s="89"/>
      <c r="J6" s="11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AB6" s="26"/>
    </row>
    <row r="7" spans="1:121" s="18" customFormat="1" ht="15" hidden="1" customHeight="1" thickBot="1" x14ac:dyDescent="0.4">
      <c r="A7" s="27"/>
      <c r="B7" s="28"/>
      <c r="C7" s="28"/>
      <c r="D7" s="28"/>
      <c r="E7" s="63"/>
      <c r="F7" s="28"/>
      <c r="G7" s="228" t="s">
        <v>132</v>
      </c>
      <c r="H7" s="229"/>
      <c r="I7" s="108"/>
      <c r="J7" s="125" t="s">
        <v>0</v>
      </c>
      <c r="K7" s="155" t="s">
        <v>2</v>
      </c>
      <c r="L7" s="155" t="s">
        <v>2</v>
      </c>
      <c r="M7" s="156" t="s">
        <v>2</v>
      </c>
      <c r="N7" s="156" t="s">
        <v>3</v>
      </c>
      <c r="O7" s="156" t="s">
        <v>3</v>
      </c>
      <c r="P7" s="156" t="s">
        <v>3</v>
      </c>
      <c r="Q7" s="29" t="s">
        <v>3</v>
      </c>
      <c r="R7" s="155" t="s">
        <v>3</v>
      </c>
      <c r="S7" s="155" t="s">
        <v>3</v>
      </c>
      <c r="T7" s="155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5" t="s">
        <v>2</v>
      </c>
      <c r="AA7" s="155" t="s">
        <v>2</v>
      </c>
      <c r="AB7" s="26"/>
    </row>
    <row r="8" spans="1:121" s="18" customFormat="1" ht="15.75" customHeight="1" x14ac:dyDescent="0.35">
      <c r="A8" s="22"/>
      <c r="B8" s="70"/>
      <c r="C8" s="70"/>
      <c r="D8" s="238" t="str">
        <f ca="1">MID(CELL("filename",A1),FIND("]",CELL("filename",A1))+1,255)&amp;" Level Scorecard"</f>
        <v>Campaign &amp; Partner Level Scorecard</v>
      </c>
      <c r="E8" s="238"/>
      <c r="F8" s="28"/>
      <c r="G8" s="230" t="s">
        <v>132</v>
      </c>
      <c r="H8" s="231"/>
      <c r="I8" s="128"/>
      <c r="J8" s="126" t="s">
        <v>16</v>
      </c>
      <c r="K8" s="127">
        <f>VLOOKUP(K6,Benchmark_Legend[],MATCH(ColumnCP[[#This Row],[Metric]],Benchmark_Legend[#Headers],0),0)</f>
        <v>0.7</v>
      </c>
      <c r="L8" s="127">
        <f>VLOOKUP(L6,Benchmark_Legend[],MATCH(ColumnCP[[#This Row],[Metric]],Benchmark_Legend[#Headers],0),0)</f>
        <v>0.98</v>
      </c>
      <c r="M8" s="127">
        <f>VLOOKUP(M6,Benchmark_Legend[],MATCH(ColumnCP[[#This Row],[Metric]],Benchmark_Legend[#Headers],0),0)</f>
        <v>0.95</v>
      </c>
      <c r="N8" s="127">
        <f>VLOOKUP(N6,Benchmark_Legend[],MATCH(ColumnCP[[#This Row],[Metric]],Benchmark_Legend[#Headers],0),0)</f>
        <v>0.05</v>
      </c>
      <c r="O8" s="127">
        <f>VLOOKUP(O6,Benchmark_Legend[],MATCH(ColumnCP[[#This Row],[Metric]],Benchmark_Legend[#Headers],0),0)</f>
        <v>0.02</v>
      </c>
      <c r="P8" s="127">
        <f>VLOOKUP(P6,Benchmark_Legend[],MATCH(ColumnCP[[#This Row],[Metric]],Benchmark_Legend[#Headers],0),0)</f>
        <v>0.02</v>
      </c>
      <c r="Q8" s="127">
        <f>VLOOKUP(Q6,Benchmark_Legend[],MATCH(ColumnCP[[#This Row],[Metric]],Benchmark_Legend[#Headers],0),0)</f>
        <v>0.01</v>
      </c>
      <c r="R8" s="127">
        <f>VLOOKUP(R6,Benchmark_Legend[],MATCH(ColumnCP[[#This Row],[Metric]],Benchmark_Legend[#Headers],0),0)</f>
        <v>0.01</v>
      </c>
      <c r="S8" s="127">
        <f>VLOOKUP(S6,Benchmark_Legend[],MATCH(ColumnCP[[#This Row],[Metric]],Benchmark_Legend[#Headers],0),0)</f>
        <v>0.01</v>
      </c>
      <c r="T8" s="127">
        <f>VLOOKUP(T6,Benchmark_Legend[],MATCH(ColumnCP[[#This Row],[Metric]],Benchmark_Legend[#Headers],0),0)</f>
        <v>0.03</v>
      </c>
      <c r="U8" s="127">
        <f>VLOOKUP(U6,Benchmark_Legend[],MATCH(ColumnCP[[#This Row],[Metric]],Benchmark_Legend[#Headers],0),0)</f>
        <v>0.55000000000000004</v>
      </c>
      <c r="V8" s="127">
        <f>VLOOKUP(V6,Benchmark_Legend[],MATCH(ColumnCP[[#This Row],[Metric]],Benchmark_Legend[#Headers],0),0)</f>
        <v>0.6</v>
      </c>
      <c r="W8" s="127">
        <f>VLOOKUP(W6,Benchmark_Legend[],MATCH(ColumnCP[[#This Row],[Metric]],Benchmark_Legend[#Headers],0),0)</f>
        <v>0.5</v>
      </c>
      <c r="X8" s="127">
        <f>VLOOKUP(X6,Benchmark_Legend[],MATCH(ColumnCP[[#This Row],[Metric]],Benchmark_Legend[#Headers],0),0)</f>
        <v>0.35</v>
      </c>
      <c r="Y8" s="127">
        <f>VLOOKUP(Y6,Benchmark_Legend[],MATCH(ColumnCP[[#This Row],[Metric]],Benchmark_Legend[#Headers],0),0)</f>
        <v>0.25</v>
      </c>
      <c r="Z8" s="127">
        <f>VLOOKUP(Z6,Benchmark_Legend[],MATCH(ColumnCP[[#This Row],[Metric]],Benchmark_Legend[#Headers],0),0)</f>
        <v>0.35</v>
      </c>
      <c r="AA8" s="127">
        <f>VLOOKUP(AA6,Benchmark_Legend[],MATCH(ColumnCP[[#This Row],[Metric]],Benchmark_Legend[#Headers],0),0)</f>
        <v>0.25</v>
      </c>
      <c r="AB8" s="26"/>
    </row>
    <row r="9" spans="1:121" s="18" customFormat="1" ht="15.75" customHeight="1" thickBot="1" x14ac:dyDescent="0.4">
      <c r="A9" s="22"/>
      <c r="B9" s="232" t="s">
        <v>154</v>
      </c>
      <c r="C9" s="232"/>
      <c r="D9" s="232"/>
      <c r="E9" s="232"/>
      <c r="F9" s="28"/>
      <c r="G9" s="117" t="s">
        <v>14</v>
      </c>
      <c r="H9" s="121" t="s">
        <v>14</v>
      </c>
      <c r="I9" s="109"/>
      <c r="J9" s="110" t="s">
        <v>130</v>
      </c>
      <c r="K9" s="99">
        <f t="array" aca="1" ref="K9" ca="1">SUM(
IF((DataCP[Measured Rate 
'[% Measured']]&lt;&gt;"NULL"),
DataCP[Measured Rate 
'[% Measured']]*
SUBTOTAL(9,OFFSET(DataCP[Total Impressions],ROW(DataCP[Total Impressions])-MIN(ROW(DataCP[Total Impressions])),0,1))))
/
SUM(
IF((DataCP[Measured Rate 
'[% Measured']]&lt;&gt;"NULL"),
SUBTOTAL(9,OFFSET(DataCP[Total Impressions],ROW(DataCP[Total Impressions])-MIN(ROW(DataCP[Total Impressions])),0,1))))</f>
        <v>0.85429677461397868</v>
      </c>
      <c r="L9" s="99">
        <f t="array" aca="1" ref="L9" ca="1">SUM(
IF((DataCP[See-Through Rate 
'[% Visible']]&lt;&gt;"NULL"),
DataCP[See-Through Rate 
'[% Visible']]*
SUBTOTAL(9,OFFSET(DataCP[Total Impressions],ROW(DataCP[Total Impressions])-MIN(ROW(DataCP[Total Impressions])),0,1))))
/
SUM(
IF((DataCP[See-Through Rate 
'[% Visible']]&lt;&gt;"NULL"),
SUBTOTAL(9,OFFSET(DataCP[Total Impressions],ROW(DataCP[Total Impressions])-MIN(ROW(DataCP[Total Impressions])),0,1))))</f>
        <v>0.96914704293514597</v>
      </c>
      <c r="M9" s="111">
        <f t="array" aca="1" ref="M9" ca="1">SUM(
IF((DataCP[Brand Safety 
'[% Passed']]&lt;&gt;"NULL"),
DataCP[Brand Safety 
'[% Passed']]*
SUBTOTAL(9,OFFSET(DataCP[Total Impressions],ROW(DataCP[Total Impressions])-MIN(ROW(DataCP[Total Impressions])),0,1))))
/
SUM(
IF((DataCP[Brand Safety 
'[% Passed']]&lt;&gt;"NULL"),
SUBTOTAL(9,OFFSET(DataCP[Total Impressions],ROW(DataCP[Total Impressions])-MIN(ROW(DataCP[Total Impressions])),0,1))))</f>
        <v>0.95558848998876722</v>
      </c>
      <c r="N9" s="111">
        <f t="array" aca="1" ref="N9" ca="1">SUM(
IF((DataCP[Brand Safety 
'[% Failed']]&lt;&gt;"NULL"),
DataCP[Brand Safety 
'[% Failed']]*
SUBTOTAL(9,OFFSET(DataCP[Total Impressions],ROW(DataCP[Total Impressions])-MIN(ROW(DataCP[Total Impressions])),0,1))))
/
SUM(
IF((DataCP[Brand Safety 
'[% Failed']]&lt;&gt;"NULL"),
SUBTOTAL(9,OFFSET(DataCP[Total Impressions],ROW(DataCP[Total Impressions])-MIN(ROW(DataCP[Total Impressions])),0,1))))</f>
        <v>4.4411510011177942E-2</v>
      </c>
      <c r="O9" s="111">
        <f t="array" aca="1" ref="O9" ca="1">SUM(
IF((DataCP[Brand Safety 
'[% Failed by Content']]&lt;&gt;"NULL"),
DataCP[Brand Safety 
'[% Failed by Content']]*
SUBTOTAL(9,OFFSET(DataCP[Total Impressions],ROW(DataCP[Total Impressions])-MIN(ROW(DataCP[Total Impressions])),0,1))))
/
SUM(
IF((DataCP[Brand Safety 
'[% Failed by Content']]&lt;&gt;"NULL"),
SUBTOTAL(9,OFFSET(DataCP[Total Impressions],ROW(DataCP[Total Impressions])-MIN(ROW(DataCP[Total Impressions])),0,1))))</f>
        <v>2.2056094279988267E-2</v>
      </c>
      <c r="P9" s="111">
        <f t="array" aca="1" ref="P9" ca="1">SUM(
IF((DataCP[Brand Safety 
'[% Failed by Geo']]&lt;&gt;"NULL"),
DataCP[Brand Safety 
'[% Failed by Geo']]*
SUBTOTAL(9,OFFSET(DataCP[Total Impressions],ROW(DataCP[Total Impressions])-MIN(ROW(DataCP[Total Impressions])),0,1))))
/
SUM(
IF((DataCP[Brand Safety 
'[% Failed by Geo']]&lt;&gt;"NULL"),
SUBTOTAL(9,OFFSET(DataCP[Total Impressions],ROW(DataCP[Total Impressions])-MIN(ROW(DataCP[Total Impressions])),0,1))))</f>
        <v>1.9317000276723552E-3</v>
      </c>
      <c r="Q9" s="99">
        <f t="array" aca="1" ref="Q9" ca="1">SUM(
IF((DataCP[Brand Safety 
'[% Failed by Keyword']]&lt;&gt;"NULL"),
DataCP[Brand Safety 
'[% Failed by Keyword']]*
SUBTOTAL(9,OFFSET(DataCP[Total Impressions],ROW(DataCP[Total Impressions])-MIN(ROW(DataCP[Total Impressions])),0,1))))
/
SUM(
IF((DataCP[Brand Safety 
'[% Failed by Keyword']]&lt;&gt;"NULL"),
SUBTOTAL(9,OFFSET(DataCP[Total Impressions],ROW(DataCP[Total Impressions])-MIN(ROW(DataCP[Total Impressions])),0,1))))</f>
        <v>0</v>
      </c>
      <c r="R9" s="99">
        <f t="array" aca="1" ref="R9" ca="1">SUM(
IF((DataCP[Brand Safety 
'[% Failed by Blacklist']]&lt;&gt;"NULL"),
DataCP[Brand Safety 
'[% Failed by Blacklist']]*
SUBTOTAL(9,OFFSET(DataCP[Total Impressions],ROW(DataCP[Total Impressions])-MIN(ROW(DataCP[Total Impressions])),0,1))))
/
SUM(
IF((DataCP[Brand Safety 
'[% Failed by Blacklist']]&lt;&gt;"NULL"),
SUBTOTAL(9,OFFSET(DataCP[Total Impressions],ROW(DataCP[Total Impressions])-MIN(ROW(DataCP[Total Impressions])),0,1))))</f>
        <v>6.3841838396835405E-4</v>
      </c>
      <c r="S9" s="99">
        <f t="array" aca="1" ref="S9" ca="1">SUM(
IF((DataCP[Brand Safety 
'[% Failed by Language']]&lt;&gt;"NULL"),
DataCP[Brand Safety 
'[% Failed by Language']]*
SUBTOTAL(9,OFFSET(DataCP[Total Impressions],ROW(DataCP[Total Impressions])-MIN(ROW(DataCP[Total Impressions])),0,1))))
/
SUM(
IF((DataCP[Brand Safety 
'[% Failed by Language']]&lt;&gt;"NULL"),
SUBTOTAL(9,OFFSET(DataCP[Total Impressions],ROW(DataCP[Total Impressions])-MIN(ROW(DataCP[Total Impressions])),0,1))))</f>
        <v>0</v>
      </c>
      <c r="T9" s="99">
        <f t="array" aca="1" ref="T9" ca="1">SUM(
IF((DataCP[Fraud 
'[% Fraud']]&lt;&gt;"NULL"),
DataCP[Fraud 
'[% Fraud']]*
SUBTOTAL(9,OFFSET(DataCP[Total Impressions],ROW(DataCP[Total Impressions])-MIN(ROW(DataCP[Total Impressions])),0,1))))
/
SUM(
IF((DataCP[Fraud 
'[% Fraud']]&lt;&gt;"NULL"),
SUBTOTAL(9,OFFSET(DataCP[Total Impressions],ROW(DataCP[Total Impressions])-MIN(ROW(DataCP[Total Impressions])),0,1))))</f>
        <v>2.0534561355179778E-2</v>
      </c>
      <c r="U9" s="99">
        <f t="array" aca="1" ref="U9" ca="1">SUM(
IF((DataCP[Viewability 
'[Total Viewable Rate (Total Net Metrics)']]&lt;&gt;"NULL"),
DataCP[Viewability 
'[Total Viewable Rate (Total Net Metrics)']]*SUBTOTAL(9,OFFSET(DataCP[Measured Impressions],ROW(DataCP[Measured Impressions])-MIN(ROW(DataCP[Measured Impressions])),0,1))))
/
SUM(
IF((DataCP[Viewability 
'[Total Viewable Rate (Total Net Metrics)']]&lt;&gt;"NULL"),
SUBTOTAL(9,OFFSET(DataCP[Measured Impressions],ROW(DataCP[Measured Impressions])-MIN(ROW(DataCP[Measured Impressions])),0,1))))</f>
        <v>0.57574295650200713</v>
      </c>
      <c r="V9" s="99">
        <f t="array" aca="1" ref="V9" ca="1">SUM(
IF((DataCP[Display Viewability 
'[Total Viewable Rate (Total Net Metrics)']]&lt;&gt;"NULL"),
DataCP[Display Viewability 
'[Total Viewable Rate (Total Net Metrics)']]*SUBTOTAL(9,OFFSET(DataCP[Measured Impressions],ROW(DataCP[Measured Impressions])-MIN(ROW(DataCP[Measured Impressions])),0,1))))
/
SUM(
IF((DataCP[Display Viewability 
'[Total Viewable Rate (Total Net Metrics)']]&lt;&gt;"NULL"),
SUBTOTAL(9,OFFSET(DataCP[Measured Impressions],ROW(DataCP[Measured Impressions])-MIN(ROW(DataCP[Measured Impressions])),0,1))))</f>
        <v>0.57574295650200713</v>
      </c>
      <c r="W9" s="111" t="e">
        <f t="array" aca="1" ref="W9" ca="1">SUM(
IF((DataCP[Video Viewability 
'[Total Viewable Rate (Total Net Metrics)']]&lt;&gt;"NULL"),
DataCP[Video Viewability 
'[Total Viewable Rate (Total Net Metrics)']]*SUBTOTAL(9,OFFSET(DataCP[Measured Impressions],ROW(DataCP[Measured Impressions])-MIN(ROW(DataCP[Measured Impressions])),0,1))))
/
SUM(
IF((DataCP[Video Viewability 
'[Total Viewable Rate (Total Net Metrics)']]&lt;&gt;"NULL"),
SUBTOTAL(9,OFFSET(DataCP[Measured Impressions],ROW(DataCP[Measured Impressions])-MIN(ROW(DataCP[Measured Impressions])),0,1))))</f>
        <v>#DIV/0!</v>
      </c>
      <c r="X9" s="99">
        <f t="array" aca="1" ref="X9" ca="1">SUM(
IF((DataCP[GroupM Viewability 
'[% Display Ads Fully in View']]&lt;&gt;"NULL"),
DataCP[GroupM Viewability 
'[% Display Ads Fully in View']]*SUBTOTAL(9,OFFSET(DataCP[Measured Impressions],ROW(DataCP[Measured Impressions])-MIN(ROW(DataCP[Measured Impressions])),0,1))))
/
SUM(
IF((DataCP[GroupM Viewability 
'[% Display Ads Fully in View']]&lt;&gt;"NULL"),
SUBTOTAL(9,OFFSET(DataCP[Measured Impressions],ROW(DataCP[Measured Impressions])-MIN(ROW(DataCP[Measured Impressions])),0,1))))</f>
        <v>0</v>
      </c>
      <c r="Y9" s="111" t="e">
        <f t="array" aca="1" ref="Y9" ca="1">SUM(
IF((DataCP[GroupM Viewability 
'[% Videos Fully in View']]&lt;&gt;"NULL"),
DataCP[GroupM Viewability 
'[% Videos Fully in View']]*SUBTOTAL(9,OFFSET(DataCP[Measured Impressions],ROW(DataCP[Measured Impressions])-MIN(ROW(DataCP[Measured Impressions])),0,1))))
/
SUM(
IF((DataCP[GroupM Viewability 
'[% Videos Fully in View']]&lt;&gt;"NULL"),
SUBTOTAL(9,OFFSET(DataCP[Measured Impressions],ROW(DataCP[Measured Impressions])-MIN(ROW(DataCP[Measured Impressions])),0,1))))</f>
        <v>#DIV/0!</v>
      </c>
      <c r="Z9" s="99">
        <f t="array" aca="1" ref="Z9" ca="1">SUM(
IF((DataCP[Publicis Viewability 
'[% Display Ads Fully in View']]&lt;&gt;"NULL"),
DataCP[Publicis Viewability 
'[% Display Ads Fully in View']]*SUBTOTAL(9,OFFSET(DataCP[Measured Impressions],ROW(DataCP[Measured Impressions])-MIN(ROW(DataCP[Measured Impressions])),0,1))))
/
SUM(
IF((DataCP[Publicis Viewability 
'[% Display Ads Fully in View']]&lt;&gt;"NULL"),
SUBTOTAL(9,OFFSET(DataCP[Measured Impressions],ROW(DataCP[Measured Impressions])-MIN(ROW(DataCP[Measured Impressions])),0,1))))</f>
        <v>0</v>
      </c>
      <c r="AA9" s="99" t="e">
        <f t="array" aca="1" ref="AA9" ca="1">SUM(
IF((DataCP[Publicis Viewability 
'[% Videos Fully in View']]&lt;&gt;"NULL"),
DataCP[Publicis Viewability 
'[% Videos Fully in View']]*SUBTOTAL(9,OFFSET(DataCP[Measured Impressions],ROW(DataCP[Measured Impressions])-MIN(ROW(DataCP[Measured Impressions])),0,1))))
/
SUM(
IF((DataCP[Publicis Viewability 
'[% Videos Fully in View']]&lt;&gt;"NULL"),
SUBTOTAL(9,OFFSET(DataCP[Measured Impressions],ROW(DataCP[Measured Impressions])-MIN(ROW(DataCP[Measured Impressions])),0,1))))</f>
        <v>#DIV/0!</v>
      </c>
      <c r="AB9" s="26"/>
    </row>
    <row r="10" spans="1:121" s="18" customFormat="1" ht="15" hidden="1" customHeight="1" x14ac:dyDescent="0.35">
      <c r="A10" s="233"/>
      <c r="B10" s="234"/>
      <c r="C10" s="234"/>
      <c r="D10" s="234"/>
      <c r="E10" s="58"/>
      <c r="F10" s="28"/>
      <c r="G10" s="115" t="s">
        <v>14</v>
      </c>
      <c r="H10" s="115"/>
      <c r="I10" s="27"/>
      <c r="J10" s="101" t="s">
        <v>126</v>
      </c>
      <c r="K10" s="31" t="e">
        <f t="array" aca="1" ref="K10" ca="1">SUM(
IF(DataCP[Measured Rate 
'[% Measured']]&lt;&gt;"NULL",
IF(DataCP[Device Type]=ColumnCP[[#This Row],[Metric]],
DataCP[Measured Rate 
'[% Measured']]*
SUBTOTAL(9,OFFSET(DataCP[Total Impressions],ROW(DataCP[Total Impressions])-MIN(ROW(DataCP[Total Impressions])),0,1)))))
/
SUM(
IF(DataCP[Measured Rate 
'[% Measured']]&lt;&gt;"NULL",
IF(DataCP[Device Type]=ColumnCP[[#This Row],[Metric]],
SUBTOTAL(9,OFFSET(DataCP[Total Impressions],ROW(DataCP[Total Impressions])-MIN(ROW(DataCP[Total Impressions])),0,1)))))</f>
        <v>#DIV/0!</v>
      </c>
      <c r="L10" s="32" t="e">
        <f t="array" aca="1" ref="L10" ca="1">SUM(
IF(DataCP[See-Through Rate 
'[% Visible']]&lt;&gt;"NULL",
IF(DataCP[Device Type]=ColumnCP[[#This Row],[Metric]],
DataCP[See-Through Rate 
'[% Visible']]*
SUBTOTAL(9,OFFSET(DataCP[Total Impressions],ROW(DataCP[Total Impressions])-MIN(ROW(DataCP[Total Impressions])),0,1)))))
/
SUM(
IF(DataCP[See-Through Rate 
'[% Visible']]&lt;&gt;"NULL",
IF(DataCP[Device Type]=ColumnCP[[#This Row],[Metric]],
SUBTOTAL(9,OFFSET(DataCP[Total Impressions],ROW(DataCP[Total Impressions])-MIN(ROW(DataCP[Total Impressions])),0,1)))))</f>
        <v>#DIV/0!</v>
      </c>
      <c r="M10" s="32" t="e">
        <f t="array" aca="1" ref="M10" ca="1">SUM(
IF(DataCP[Brand Safety 
'[% Passed']]&lt;&gt;"NULL",
IF(DataCP[Device Type]=ColumnCP[[#This Row],[Metric]],
DataCP[Brand Safety 
'[% Passed']]*
SUBTOTAL(9,OFFSET(DataCP[Total Impressions],ROW(DataCP[Total Impressions])-MIN(ROW(DataCP[Total Impressions])),0,1)))))
/
SUM(
IF(DataCP[Brand Safety 
'[% Passed']]&lt;&gt;"NULL",
IF(DataCP[Device Type]=ColumnCP[[#This Row],[Metric]],
SUBTOTAL(9,OFFSET(DataCP[Total Impressions],ROW(DataCP[Total Impressions])-MIN(ROW(DataCP[Total Impressions])),0,1)))))</f>
        <v>#DIV/0!</v>
      </c>
      <c r="N10" s="32" t="e">
        <f t="array" aca="1" ref="N10" ca="1">SUM(
IF(DataCP[Brand Safety 
'[% Failed']]&lt;&gt;"NULL",
IF(DataCP[Device Type]=ColumnCP[[#This Row],[Metric]],
DataCP[Brand Safety 
'[% Failed']]*
SUBTOTAL(9,OFFSET(DataCP[Total Impressions],ROW(DataCP[Total Impressions])-MIN(ROW(DataCP[Total Impressions])),0,1)))))
/
SUM(
IF(DataCP[Brand Safety 
'[% Failed']]&lt;&gt;"NULL",
IF(DataCP[Device Type]=ColumnCP[[#This Row],[Metric]],
SUBTOTAL(9,OFFSET(DataCP[Total Impressions],ROW(DataCP[Total Impressions])-MIN(ROW(DataCP[Total Impressions])),0,1)))))</f>
        <v>#DIV/0!</v>
      </c>
      <c r="O10" s="32" t="e">
        <f t="array" aca="1" ref="O10" ca="1">SUM(
IF(DataCP[Brand Safety 
'[% Failed by Content']]&lt;&gt;"NULL",
IF(DataCP[Device Type]=ColumnCP[[#This Row],[Metric]],
DataCP[Brand Safety 
'[% Failed by Content']]*
SUBTOTAL(9,OFFSET(DataCP[Total Impressions],ROW(DataCP[Total Impressions])-MIN(ROW(DataCP[Total Impressions])),0,1)))))
/
SUM(
IF(DataCP[Brand Safety 
'[% Failed by Content']]&lt;&gt;"NULL",
IF(DataCP[Device Type]=ColumnCP[[#This Row],[Metric]],
SUBTOTAL(9,OFFSET(DataCP[Total Impressions],ROW(DataCP[Total Impressions])-MIN(ROW(DataCP[Total Impressions])),0,1)))))</f>
        <v>#DIV/0!</v>
      </c>
      <c r="P10" s="32" t="e">
        <f t="array" aca="1" ref="P10" ca="1">SUM(
IF(DataCP[Brand Safety 
'[% Failed by Geo']]&lt;&gt;"NULL",
IF(DataCP[Device Type]=ColumnCP[[#This Row],[Metric]],
DataCP[Brand Safety 
'[% Failed by Geo']]*
SUBTOTAL(9,OFFSET(DataCP[Total Impressions],ROW(DataCP[Total Impressions])-MIN(ROW(DataCP[Total Impressions])),0,1)))))
/
SUM(
IF(DataCP[Brand Safety 
'[% Failed by Geo']]&lt;&gt;"NULL",
IF(DataCP[Device Type]=ColumnCP[[#This Row],[Metric]],
SUBTOTAL(9,OFFSET(DataCP[Total Impressions],ROW(DataCP[Total Impressions])-MIN(ROW(DataCP[Total Impressions])),0,1)))))</f>
        <v>#DIV/0!</v>
      </c>
      <c r="Q10" s="32" t="e">
        <f t="array" aca="1" ref="Q10" ca="1">SUM(
IF(DataCP[Brand Safety 
'[% Failed by Keyword']]&lt;&gt;"NULL",
IF(DataCP[Device Type]=ColumnCP[[#This Row],[Metric]],
DataCP[Brand Safety 
'[% Failed by Keyword']]*
SUBTOTAL(9,OFFSET(DataCP[Total Impressions],ROW(DataCP[Total Impressions])-MIN(ROW(DataCP[Total Impressions])),0,1)))))
/
SUM(
IF(DataCP[Brand Safety 
'[% Failed by Keyword']]&lt;&gt;"NULL",
IF(DataCP[Device Type]=ColumnCP[[#This Row],[Metric]],
SUBTOTAL(9,OFFSET(DataCP[Total Impressions],ROW(DataCP[Total Impressions])-MIN(ROW(DataCP[Total Impressions])),0,1)))))</f>
        <v>#DIV/0!</v>
      </c>
      <c r="R10" s="32" t="e">
        <f t="array" aca="1" ref="R10" ca="1">SUM(
IF(DataCP[Brand Safety 
'[% Failed by Blacklist']]&lt;&gt;"NULL",
IF(DataCP[Device Type]=ColumnCP[[#This Row],[Metric]],
DataCP[Brand Safety 
'[% Failed by Blacklist']]*
SUBTOTAL(9,OFFSET(DataCP[Total Impressions],ROW(DataCP[Total Impressions])-MIN(ROW(DataCP[Total Impressions])),0,1)))))
/
SUM(
IF(DataCP[Brand Safety 
'[% Failed by Blacklist']]&lt;&gt;"NULL",
IF(DataCP[Device Type]=ColumnCP[[#This Row],[Metric]],
SUBTOTAL(9,OFFSET(DataCP[Total Impressions],ROW(DataCP[Total Impressions])-MIN(ROW(DataCP[Total Impressions])),0,1)))))</f>
        <v>#DIV/0!</v>
      </c>
      <c r="S10" s="32" t="e">
        <f t="array" aca="1" ref="S10" ca="1">SUM(
IF(DataCP[Brand Safety 
'[% Failed by Language']]&lt;&gt;"NULL",
IF(DataCP[Device Type]=ColumnCP[[#This Row],[Metric]],
DataCP[Brand Safety 
'[% Failed by Language']]*
SUBTOTAL(9,OFFSET(DataCP[Total Impressions],ROW(DataCP[Total Impressions])-MIN(ROW(DataCP[Total Impressions])),0,1)))))
/
SUM(
IF(DataCP[Brand Safety 
'[% Failed by Language']]&lt;&gt;"NULL",
IF(DataCP[Device Type]=ColumnCP[[#This Row],[Metric]],
SUBTOTAL(9,OFFSET(DataCP[Total Impressions],ROW(DataCP[Total Impressions])-MIN(ROW(DataCP[Total Impressions])),0,1)))))</f>
        <v>#DIV/0!</v>
      </c>
      <c r="T10" s="32" t="e">
        <f t="array" aca="1" ref="T10" ca="1">SUM(
IF(DataCP[Fraud 
'[% Fraud']]&lt;&gt;"NULL",
IF(DataCP[Device Type]=ColumnCP[[#This Row],[Metric]],
DataCP[Fraud 
'[% Fraud']]*
SUBTOTAL(9,OFFSET(DataCP[Total Impressions],ROW(DataCP[Total Impressions])-MIN(ROW(DataCP[Total Impressions])),0,1)))))
/
SUM(
IF(DataCP[Fraud 
'[% Fraud']]&lt;&gt;"NULL",
IF(DataCP[Device Type]=ColumnCP[[#This Row],[Metric]],
SUBTOTAL(9,OFFSET(DataCP[Total Impressions],ROW(DataCP[Total Impressions])-MIN(ROW(DataCP[Total Impressions])),0,1)))))</f>
        <v>#DIV/0!</v>
      </c>
      <c r="U10" s="32" t="e">
        <f t="array" aca="1" ref="U10" ca="1">SUM(
IF(DataCP[Viewability 
'[Total Viewable Rate (Total Net Metrics)']]&lt;&gt;"NULL",
IF(DataCP[Device Type]=ColumnCP[[#This Row],[Metric]],
DataCP[Viewability 
'[Total Viewable Rate (Total Net Metrics)']]*
SUBTOTAL(9,OFFSET(DataCP[Total Impressions],ROW(DataCP[Total Impressions])-MIN(ROW(DataCP[Total Impressions])),0,1)))))
/
SUM(
IF(DataCP[Viewability 
'[Total Viewable Rate (Total Net Metrics)']]&lt;&gt;"NULL",
IF(DataCP[Device Type]=ColumnCP[[#This Row],[Metric]],
SUBTOTAL(9,OFFSET(DataCP[Total Impressions],ROW(DataCP[Total Impressions])-MIN(ROW(DataCP[Total Impressions])),0,1)))))</f>
        <v>#DIV/0!</v>
      </c>
      <c r="V10" s="32" t="e">
        <f t="array" aca="1" ref="V10" ca="1">SUM(
IF(DataCP[Display Viewability 
'[Total Viewable Rate (Total Net Metrics)']]&lt;&gt;"NULL",
IF(DataCP[Device Type]=ColumnCP[[#This Row],[Metric]],
DataCP[Display Viewability 
'[Total Viewable Rate (Total Net Metrics)']]*
SUBTOTAL(9,OFFSET(DataCP[Total Impressions],ROW(DataCP[Total Impressions])-MIN(ROW(DataCP[Total Impressions])),0,1)))))
/
SUM(
IF(DataCP[Display Viewability 
'[Total Viewable Rate (Total Net Metrics)']]&lt;&gt;"NULL",
IF(DataCP[Device Type]=ColumnCP[[#This Row],[Metric]],
SUBTOTAL(9,OFFSET(DataCP[Total Impressions],ROW(DataCP[Total Impressions])-MIN(ROW(DataCP[Total Impressions])),0,1)))))</f>
        <v>#DIV/0!</v>
      </c>
      <c r="W10" s="32" t="e">
        <f t="array" aca="1" ref="W10" ca="1">SUM(
IF(DataCP[Video Viewability 
'[Total Viewable Rate (Total Net Metrics)']]&lt;&gt;"NULL",
IF(DataCP[Device Type]=ColumnCP[[#This Row],[Metric]],
DataCP[Video Viewability 
'[Total Viewable Rate (Total Net Metrics)']]*
SUBTOTAL(9,OFFSET(DataCP[Total Impressions],ROW(DataCP[Total Impressions])-MIN(ROW(DataCP[Total Impressions])),0,1)))))
/
SUM(
IF(DataCP[Video Viewability 
'[Total Viewable Rate (Total Net Metrics)']]&lt;&gt;"NULL",
IF(DataCP[Device Type]=ColumnCP[[#This Row],[Metric]],
SUBTOTAL(9,OFFSET(DataCP[Total Impressions],ROW(DataCP[Total Impressions])-MIN(ROW(DataCP[Total Impressions])),0,1)))))</f>
        <v>#DIV/0!</v>
      </c>
      <c r="X10" s="32" t="e">
        <f t="array" aca="1" ref="X10" ca="1">SUM(
IF(DataCP[GroupM Viewability 
'[% Display Ads Fully in View']]&lt;&gt;"NULL",
IF(DataCP[Device Type]=ColumnCP[[#This Row],[Metric]],
DataCP[GroupM Viewability 
'[% Display Ads Fully in View']]*
SUBTOTAL(9,OFFSET(DataCP[Total Impressions],ROW(DataCP[Total Impressions])-MIN(ROW(DataCP[Total Impressions])),0,1)))))
/
SUM(
IF(DataCP[GroupM Viewability 
'[% Display Ads Fully in View']]&lt;&gt;"NULL",
IF(DataCP[Device Type]=ColumnCP[[#This Row],[Metric]],
SUBTOTAL(9,OFFSET(DataCP[Total Impressions],ROW(DataCP[Total Impressions])-MIN(ROW(DataCP[Total Impressions])),0,1)))))</f>
        <v>#DIV/0!</v>
      </c>
      <c r="Y10" s="32" t="e">
        <f t="array" aca="1" ref="Y10" ca="1">SUM(
IF(DataCP[GroupM Viewability 
'[% Videos Fully in View']]&lt;&gt;"NULL",
IF(DataCP[Device Type]=ColumnCP[[#This Row],[Metric]],
DataCP[GroupM Viewability 
'[% Videos Fully in View']]*
SUBTOTAL(9,OFFSET(DataCP[Total Impressions],ROW(DataCP[Total Impressions])-MIN(ROW(DataCP[Total Impressions])),0,1)))))
/
SUM(
IF(DataCP[GroupM Viewability 
'[% Videos Fully in View']]&lt;&gt;"NULL",
IF(DataCP[Device Type]=ColumnCP[[#This Row],[Metric]],
SUBTOTAL(9,OFFSET(DataCP[Total Impressions],ROW(DataCP[Total Impressions])-MIN(ROW(DataCP[Total Impressions])),0,1)))))</f>
        <v>#DIV/0!</v>
      </c>
      <c r="Z10" s="32" t="e">
        <f t="array" aca="1" ref="Z10" ca="1">SUM(
IF(DataCP[Publicis Viewability 
'[% Display Ads Fully in View']]&lt;&gt;"NULL",
IF(DataCP[Device Type]=ColumnCP[[#This Row],[Metric]],
DataCP[Publicis Viewability 
'[% Display Ads Fully in View']]*
SUBTOTAL(9,OFFSET(DataCP[Total Impressions],ROW(DataCP[Total Impressions])-MIN(ROW(DataCP[Total Impressions])),0,1)))))
/
SUM(
IF(DataCP[Publicis Viewability 
'[% Display Ads Fully in View']]&lt;&gt;"NULL",
IF(DataCP[Device Type]=ColumnCP[[#This Row],[Metric]],
SUBTOTAL(9,OFFSET(DataCP[Total Impressions],ROW(DataCP[Total Impressions])-MIN(ROW(DataCP[Total Impressions])),0,1)))))</f>
        <v>#DIV/0!</v>
      </c>
      <c r="AA10" s="32" t="e">
        <f t="array" aca="1" ref="AA10" ca="1">SUM(
IF(DataCP[Publicis Viewability 
'[% Videos Fully in View']]&lt;&gt;"NULL",
IF(DataCP[Device Type]=ColumnCP[[#This Row],[Metric]],
DataCP[Publicis Viewability 
'[% Videos Fully in View']]*
SUBTOTAL(9,OFFSET(DataCP[Total Impressions],ROW(DataCP[Total Impressions])-MIN(ROW(DataCP[Total Impressions])),0,1)))))
/
SUM(
IF(DataCP[Publicis Viewability 
'[% Videos Fully in View']]&lt;&gt;"NULL",
IF(DataCP[Device Type]=ColumnCP[[#This Row],[Metric]],
SUBTOTAL(9,OFFSET(DataCP[Total Impressions],ROW(DataCP[Total Impressions])-MIN(ROW(DataCP[Total Impressions])),0,1)))))</f>
        <v>#DIV/0!</v>
      </c>
      <c r="AB10" s="26"/>
    </row>
    <row r="11" spans="1:121" s="18" customFormat="1" ht="15" hidden="1" customHeight="1" x14ac:dyDescent="0.35">
      <c r="A11" s="235"/>
      <c r="B11" s="236"/>
      <c r="C11" s="236"/>
      <c r="D11" s="236"/>
      <c r="E11" s="58"/>
      <c r="F11" s="28"/>
      <c r="G11" s="115" t="s">
        <v>14</v>
      </c>
      <c r="H11" s="115"/>
      <c r="I11" s="27"/>
      <c r="J11" s="101" t="s">
        <v>140</v>
      </c>
      <c r="K11" s="31" t="e">
        <f t="array" aca="1" ref="K11" ca="1">SUM(
IF(DataCP[Measured Rate 
'[% Measured']]&lt;&gt;"NULL",
IF(DataCP[Brand]=ColumnCP[[#This Row],[Metric]],
DataCP[Measured Rate 
'[% Measured']]*
SUBTOTAL(9,OFFSET(DataCP[Total Impressions],ROW(DataCP[Total Impressions])-MIN(ROW(DataCP[Total Impressions])),0,1)))))
/
SUM(
IF(DataCP[Measured Rate 
'[% Measured']]&lt;&gt;"NULL",
IF(DataCP[Brand]=ColumnCP[[#This Row],[Metric]],
SUBTOTAL(9,OFFSET(DataCP[Total Impressions],ROW(DataCP[Total Impressions])-MIN(ROW(DataCP[Total Impressions])),0,1)))))</f>
        <v>#DIV/0!</v>
      </c>
      <c r="L11" s="32" t="e">
        <f t="array" aca="1" ref="L11" ca="1">SUM(
IF(DataCP[See-Through Rate 
'[% Visible']]&lt;&gt;"NULL",
IF(DataCP[Brand]=ColumnCP[[#This Row],[Metric]],
DataCP[See-Through Rate 
'[% Visible']]*
SUBTOTAL(9,OFFSET(DataCP[Total Impressions],ROW(DataCP[Total Impressions])-MIN(ROW(DataCP[Total Impressions])),0,1)))))
/
SUM(
IF(DataCP[See-Through Rate 
'[% Visible']]&lt;&gt;"NULL",
IF(DataCP[Brand]=ColumnCP[[#This Row],[Metric]],
SUBTOTAL(9,OFFSET(DataCP[Total Impressions],ROW(DataCP[Total Impressions])-MIN(ROW(DataCP[Total Impressions])),0,1)))))</f>
        <v>#DIV/0!</v>
      </c>
      <c r="M11" s="32" t="e">
        <f t="array" aca="1" ref="M11" ca="1">SUM(
IF(DataCP[Brand Safety 
'[% Passed']]&lt;&gt;"NULL",
IF(DataCP[Brand]=ColumnCP[[#This Row],[Metric]],
DataCP[Brand Safety 
'[% Passed']]*
SUBTOTAL(9,OFFSET(DataCP[Total Impressions],ROW(DataCP[Total Impressions])-MIN(ROW(DataCP[Total Impressions])),0,1)))))
/
SUM(
IF(DataCP[Brand Safety 
'[% Passed']]&lt;&gt;"NULL",
IF(DataCP[Brand]=ColumnCP[[#This Row],[Metric]],
SUBTOTAL(9,OFFSET(DataCP[Total Impressions],ROW(DataCP[Total Impressions])-MIN(ROW(DataCP[Total Impressions])),0,1)))))</f>
        <v>#DIV/0!</v>
      </c>
      <c r="N11" s="32" t="e">
        <f t="array" aca="1" ref="N11" ca="1">SUM(
IF(DataCP[Brand Safety 
'[% Failed']]&lt;&gt;"NULL",
IF(DataCP[Brand]=ColumnCP[[#This Row],[Metric]],
DataCP[Brand Safety 
'[% Failed']]*
SUBTOTAL(9,OFFSET(DataCP[Total Impressions],ROW(DataCP[Total Impressions])-MIN(ROW(DataCP[Total Impressions])),0,1)))))
/
SUM(
IF(DataCP[Brand Safety 
'[% Failed']]&lt;&gt;"NULL",
IF(DataCP[Brand]=ColumnCP[[#This Row],[Metric]],
SUBTOTAL(9,OFFSET(DataCP[Total Impressions],ROW(DataCP[Total Impressions])-MIN(ROW(DataCP[Total Impressions])),0,1)))))</f>
        <v>#DIV/0!</v>
      </c>
      <c r="O11" s="32" t="e">
        <f t="array" aca="1" ref="O11" ca="1">SUM(
IF(DataCP[Brand Safety 
'[% Failed by Content']]&lt;&gt;"NULL",
IF(DataCP[Brand]=ColumnCP[[#This Row],[Metric]],
DataCP[Brand Safety 
'[% Failed by Content']]*
SUBTOTAL(9,OFFSET(DataCP[Total Impressions],ROW(DataCP[Total Impressions])-MIN(ROW(DataCP[Total Impressions])),0,1)))))
/
SUM(
IF(DataCP[Brand Safety 
'[% Failed by Content']]&lt;&gt;"NULL",
IF(DataCP[Brand]=ColumnCP[[#This Row],[Metric]],
SUBTOTAL(9,OFFSET(DataCP[Total Impressions],ROW(DataCP[Total Impressions])-MIN(ROW(DataCP[Total Impressions])),0,1)))))</f>
        <v>#DIV/0!</v>
      </c>
      <c r="P11" s="32" t="e">
        <f t="array" aca="1" ref="P11" ca="1">SUM(
IF(DataCP[Brand Safety 
'[% Failed by Geo']]&lt;&gt;"NULL",
IF(DataCP[Brand]=ColumnCP[[#This Row],[Metric]],
DataCP[Brand Safety 
'[% Failed by Geo']]*
SUBTOTAL(9,OFFSET(DataCP[Total Impressions],ROW(DataCP[Total Impressions])-MIN(ROW(DataCP[Total Impressions])),0,1)))))
/
SUM(
IF(DataCP[Brand Safety 
'[% Failed by Geo']]&lt;&gt;"NULL",
IF(DataCP[Brand]=ColumnCP[[#This Row],[Metric]],
SUBTOTAL(9,OFFSET(DataCP[Total Impressions],ROW(DataCP[Total Impressions])-MIN(ROW(DataCP[Total Impressions])),0,1)))))</f>
        <v>#DIV/0!</v>
      </c>
      <c r="Q11" s="32" t="e">
        <f t="array" aca="1" ref="Q11" ca="1">SUM(
IF(DataCP[Brand Safety 
'[% Failed by Keyword']]&lt;&gt;"NULL",
IF(DataCP[Brand]=ColumnCP[[#This Row],[Metric]],
DataCP[Brand Safety 
'[% Failed by Keyword']]*
SUBTOTAL(9,OFFSET(DataCP[Total Impressions],ROW(DataCP[Total Impressions])-MIN(ROW(DataCP[Total Impressions])),0,1)))))
/
SUM(
IF(DataCP[Brand Safety 
'[% Failed by Keyword']]&lt;&gt;"NULL",
IF(DataCP[Brand]=ColumnCP[[#This Row],[Metric]],
SUBTOTAL(9,OFFSET(DataCP[Total Impressions],ROW(DataCP[Total Impressions])-MIN(ROW(DataCP[Total Impressions])),0,1)))))</f>
        <v>#DIV/0!</v>
      </c>
      <c r="R11" s="32" t="e">
        <f t="array" aca="1" ref="R11" ca="1">SUM(
IF(DataCP[Brand Safety 
'[% Failed by Blacklist']]&lt;&gt;"NULL",
IF(DataCP[Brand]=ColumnCP[[#This Row],[Metric]],
DataCP[Brand Safety 
'[% Failed by Blacklist']]*
SUBTOTAL(9,OFFSET(DataCP[Total Impressions],ROW(DataCP[Total Impressions])-MIN(ROW(DataCP[Total Impressions])),0,1)))))
/
SUM(
IF(DataCP[Brand Safety 
'[% Failed by Blacklist']]&lt;&gt;"NULL",
IF(DataCP[Brand]=ColumnCP[[#This Row],[Metric]],
SUBTOTAL(9,OFFSET(DataCP[Total Impressions],ROW(DataCP[Total Impressions])-MIN(ROW(DataCP[Total Impressions])),0,1)))))</f>
        <v>#DIV/0!</v>
      </c>
      <c r="S11" s="32" t="e">
        <f t="array" aca="1" ref="S11" ca="1">SUM(
IF(DataCP[Brand Safety 
'[% Failed by Language']]&lt;&gt;"NULL",
IF(DataCP[Brand]=ColumnCP[[#This Row],[Metric]],
DataCP[Brand Safety 
'[% Failed by Language']]*
SUBTOTAL(9,OFFSET(DataCP[Total Impressions],ROW(DataCP[Total Impressions])-MIN(ROW(DataCP[Total Impressions])),0,1)))))
/
SUM(
IF(DataCP[Brand Safety 
'[% Failed by Language']]&lt;&gt;"NULL",
IF(DataCP[Brand]=ColumnCP[[#This Row],[Metric]],
SUBTOTAL(9,OFFSET(DataCP[Total Impressions],ROW(DataCP[Total Impressions])-MIN(ROW(DataCP[Total Impressions])),0,1)))))</f>
        <v>#DIV/0!</v>
      </c>
      <c r="T11" s="32" t="e">
        <f t="array" aca="1" ref="T11" ca="1">SUM(
IF(DataCP[Fraud 
'[% Fraud']]&lt;&gt;"NULL",
IF(DataCP[Brand]=ColumnCP[[#This Row],[Metric]],
DataCP[Fraud 
'[% Fraud']]*
SUBTOTAL(9,OFFSET(DataCP[Total Impressions],ROW(DataCP[Total Impressions])-MIN(ROW(DataCP[Total Impressions])),0,1)))))
/
SUM(
IF(DataCP[Fraud 
'[% Fraud']]&lt;&gt;"NULL",
IF(DataCP[Brand]=ColumnCP[[#This Row],[Metric]],
SUBTOTAL(9,OFFSET(DataCP[Total Impressions],ROW(DataCP[Total Impressions])-MIN(ROW(DataCP[Total Impressions])),0,1)))))</f>
        <v>#DIV/0!</v>
      </c>
      <c r="U11" s="32" t="e">
        <f t="array" aca="1" ref="U11" ca="1">SUM(
IF(DataCP[Viewability 
'[Total Viewable Rate (Total Net Metrics)']]&lt;&gt;"NULL",
IF(DataCP[Brand]=ColumnCP[[#This Row],[Metric]],
DataCP[Viewability 
'[Total Viewable Rate (Total Net Metrics)']]*
SUBTOTAL(9,OFFSET(DataCP[Total Impressions],ROW(DataCP[Total Impressions])-MIN(ROW(DataCP[Total Impressions])),0,1)))))
/
SUM(
IF(DataCP[Viewability 
'[Total Viewable Rate (Total Net Metrics)']]&lt;&gt;"NULL",
IF(DataCP[Brand]=ColumnCP[[#This Row],[Metric]],
SUBTOTAL(9,OFFSET(DataCP[Total Impressions],ROW(DataCP[Total Impressions])-MIN(ROW(DataCP[Total Impressions])),0,1)))))</f>
        <v>#DIV/0!</v>
      </c>
      <c r="V11" s="32" t="e">
        <f t="array" aca="1" ref="V11" ca="1">SUM(
IF(DataCP[Display Viewability 
'[Total Viewable Rate (Total Net Metrics)']]&lt;&gt;"NULL",
IF(DataCP[Brand]=ColumnCP[[#This Row],[Metric]],
DataCP[Display Viewability 
'[Total Viewable Rate (Total Net Metrics)']]*
SUBTOTAL(9,OFFSET(DataCP[Total Impressions],ROW(DataCP[Total Impressions])-MIN(ROW(DataCP[Total Impressions])),0,1)))))
/
SUM(
IF(DataCP[Display Viewability 
'[Total Viewable Rate (Total Net Metrics)']]&lt;&gt;"NULL",
IF(DataCP[Brand]=ColumnCP[[#This Row],[Metric]],
SUBTOTAL(9,OFFSET(DataCP[Total Impressions],ROW(DataCP[Total Impressions])-MIN(ROW(DataCP[Total Impressions])),0,1)))))</f>
        <v>#DIV/0!</v>
      </c>
      <c r="W11" s="32" t="e">
        <f t="array" aca="1" ref="W11" ca="1">SUM(
IF(DataCP[Video Viewability 
'[Total Viewable Rate (Total Net Metrics)']]&lt;&gt;"NULL",
IF(DataCP[Brand]=ColumnCP[[#This Row],[Metric]],
DataCP[Video Viewability 
'[Total Viewable Rate (Total Net Metrics)']]*
SUBTOTAL(9,OFFSET(DataCP[Total Impressions],ROW(DataCP[Total Impressions])-MIN(ROW(DataCP[Total Impressions])),0,1)))))
/
SUM(
IF(DataCP[Video Viewability 
'[Total Viewable Rate (Total Net Metrics)']]&lt;&gt;"NULL",
IF(DataCP[Brand]=ColumnCP[[#This Row],[Metric]],
SUBTOTAL(9,OFFSET(DataCP[Total Impressions],ROW(DataCP[Total Impressions])-MIN(ROW(DataCP[Total Impressions])),0,1)))))</f>
        <v>#DIV/0!</v>
      </c>
      <c r="X11" s="32" t="e">
        <f t="array" aca="1" ref="X11" ca="1">SUM(
IF(DataCP[GroupM Viewability 
'[% Display Ads Fully in View']]&lt;&gt;"NULL",
IF(DataCP[Brand]=ColumnCP[[#This Row],[Metric]],
DataCP[GroupM Viewability 
'[% Display Ads Fully in View']]*
SUBTOTAL(9,OFFSET(DataCP[Total Impressions],ROW(DataCP[Total Impressions])-MIN(ROW(DataCP[Total Impressions])),0,1)))))
/
SUM(
IF(DataCP[GroupM Viewability 
'[% Display Ads Fully in View']]&lt;&gt;"NULL",
IF(DataCP[Brand]=ColumnCP[[#This Row],[Metric]],
SUBTOTAL(9,OFFSET(DataCP[Total Impressions],ROW(DataCP[Total Impressions])-MIN(ROW(DataCP[Total Impressions])),0,1)))))</f>
        <v>#DIV/0!</v>
      </c>
      <c r="Y11" s="32" t="e">
        <f t="array" aca="1" ref="Y11" ca="1">SUM(
IF(DataCP[GroupM Viewability 
'[% Videos Fully in View']]&lt;&gt;"NULL",
IF(DataCP[Brand]=ColumnCP[[#This Row],[Metric]],
DataCP[GroupM Viewability 
'[% Videos Fully in View']]*
SUBTOTAL(9,OFFSET(DataCP[Total Impressions],ROW(DataCP[Total Impressions])-MIN(ROW(DataCP[Total Impressions])),0,1)))))
/
SUM(
IF(DataCP[GroupM Viewability 
'[% Videos Fully in View']]&lt;&gt;"NULL",
IF(DataCP[Brand]=ColumnCP[[#This Row],[Metric]],
SUBTOTAL(9,OFFSET(DataCP[Total Impressions],ROW(DataCP[Total Impressions])-MIN(ROW(DataCP[Total Impressions])),0,1)))))</f>
        <v>#DIV/0!</v>
      </c>
      <c r="Z11" s="32" t="e">
        <f t="array" aca="1" ref="Z11" ca="1">SUM(
IF(DataCP[Publicis Viewability 
'[% Display Ads Fully in View']]&lt;&gt;"NULL",
IF(DataCP[Brand]=ColumnCP[[#This Row],[Metric]],
DataCP[Publicis Viewability 
'[% Display Ads Fully in View']]*
SUBTOTAL(9,OFFSET(DataCP[Total Impressions],ROW(DataCP[Total Impressions])-MIN(ROW(DataCP[Total Impressions])),0,1)))))
/
SUM(
IF(DataCP[Publicis Viewability 
'[% Display Ads Fully in View']]&lt;&gt;"NULL",
IF(DataCP[Brand]=ColumnCP[[#This Row],[Metric]],
SUBTOTAL(9,OFFSET(DataCP[Total Impressions],ROW(DataCP[Total Impressions])-MIN(ROW(DataCP[Total Impressions])),0,1)))))</f>
        <v>#DIV/0!</v>
      </c>
      <c r="AA11" s="32" t="e">
        <f t="array" aca="1" ref="AA11" ca="1">SUM(
IF(DataCP[Publicis Viewability 
'[% Videos Fully in View']]&lt;&gt;"NULL",
IF(DataCP[Brand]=ColumnCP[[#This Row],[Metric]],
DataCP[Publicis Viewability 
'[% Videos Fully in View']]*
SUBTOTAL(9,OFFSET(DataCP[Total Impressions],ROW(DataCP[Total Impressions])-MIN(ROW(DataCP[Total Impressions])),0,1)))))
/
SUM(
IF(DataCP[Publicis Viewability 
'[% Videos Fully in View']]&lt;&gt;"NULL",
IF(DataCP[Brand]=ColumnCP[[#This Row],[Metric]],
SUBTOTAL(9,OFFSET(DataCP[Total Impressions],ROW(DataCP[Total Impressions])-MIN(ROW(DataCP[Total Impressions])),0,1)))))</f>
        <v>#DIV/0!</v>
      </c>
      <c r="AB11" s="26"/>
    </row>
    <row r="12" spans="1:121" s="18" customFormat="1" ht="15" hidden="1" customHeight="1" x14ac:dyDescent="0.35">
      <c r="A12" s="233"/>
      <c r="B12" s="234"/>
      <c r="C12" s="234"/>
      <c r="D12" s="234"/>
      <c r="E12" s="58"/>
      <c r="F12" s="28"/>
      <c r="G12" s="227" t="s">
        <v>8</v>
      </c>
      <c r="H12" s="227"/>
      <c r="I12" s="27"/>
      <c r="J12" s="102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  <c r="AB12" s="26"/>
    </row>
    <row r="13" spans="1:121" s="18" customFormat="1" ht="15.75" hidden="1" customHeight="1" x14ac:dyDescent="0.35">
      <c r="A13" s="22"/>
      <c r="B13" s="33"/>
      <c r="C13" s="33"/>
      <c r="D13" s="33"/>
      <c r="E13" s="58"/>
      <c r="F13" s="28"/>
      <c r="G13" s="227" t="s">
        <v>8</v>
      </c>
      <c r="H13" s="227"/>
      <c r="I13" s="27"/>
      <c r="J13" s="106" t="s">
        <v>6</v>
      </c>
      <c r="K13" s="107">
        <v>0</v>
      </c>
      <c r="L13" s="107">
        <v>0</v>
      </c>
      <c r="M13" s="107">
        <v>0</v>
      </c>
      <c r="N13" s="107">
        <v>0</v>
      </c>
      <c r="O13" s="107">
        <v>0</v>
      </c>
      <c r="P13" s="107">
        <v>0</v>
      </c>
      <c r="Q13" s="107">
        <v>1</v>
      </c>
      <c r="R13" s="107">
        <v>0</v>
      </c>
      <c r="S13" s="107">
        <v>0</v>
      </c>
      <c r="T13" s="107">
        <v>0</v>
      </c>
      <c r="U13" s="107">
        <v>0</v>
      </c>
      <c r="V13" s="107">
        <v>0</v>
      </c>
      <c r="W13" s="107">
        <v>0</v>
      </c>
      <c r="X13" s="107">
        <v>0</v>
      </c>
      <c r="Y13" s="107">
        <v>0</v>
      </c>
      <c r="Z13" s="107">
        <v>0</v>
      </c>
      <c r="AA13" s="107">
        <v>0</v>
      </c>
      <c r="AB13" s="26"/>
    </row>
    <row r="14" spans="1:121" s="18" customFormat="1" ht="15.75" customHeight="1" thickBot="1" x14ac:dyDescent="0.4">
      <c r="B14" s="35"/>
      <c r="C14" s="22"/>
      <c r="D14" s="22"/>
      <c r="E14" s="55"/>
      <c r="F14" s="16"/>
      <c r="G14" s="13" t="s">
        <v>21</v>
      </c>
      <c r="H14" s="73"/>
      <c r="I14" s="73"/>
      <c r="J14" s="73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31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>
        <v>7414</v>
      </c>
      <c r="C16" s="45" t="s">
        <v>165</v>
      </c>
      <c r="D16" s="46" t="s">
        <v>166</v>
      </c>
      <c r="E16" s="46" t="s">
        <v>200</v>
      </c>
      <c r="F16" s="46" t="s">
        <v>10</v>
      </c>
      <c r="G16" s="46" t="s">
        <v>10</v>
      </c>
      <c r="H16" s="46" t="s">
        <v>167</v>
      </c>
      <c r="I16" s="47">
        <v>19275403</v>
      </c>
      <c r="J16" s="48">
        <v>23282154</v>
      </c>
      <c r="K16" s="49">
        <v>0.88013577597000003</v>
      </c>
      <c r="L16" s="49">
        <v>0.99800679954299998</v>
      </c>
      <c r="M16" s="49">
        <v>0.94065557679900003</v>
      </c>
      <c r="N16" s="49">
        <v>5.9344423200699999E-2</v>
      </c>
      <c r="O16" s="49">
        <v>2.87641770602E-2</v>
      </c>
      <c r="P16" s="49">
        <v>6.3880257814600003E-3</v>
      </c>
      <c r="Q16" s="49">
        <v>0</v>
      </c>
      <c r="R16" s="49">
        <v>0</v>
      </c>
      <c r="S16" s="49">
        <v>0</v>
      </c>
      <c r="T16" s="49">
        <v>2.5531615330799999E-2</v>
      </c>
      <c r="U16" s="49">
        <v>0.57657559740800002</v>
      </c>
      <c r="V16" s="49">
        <v>0.57657559740800002</v>
      </c>
      <c r="W16" s="49" t="s">
        <v>168</v>
      </c>
      <c r="X16" s="49">
        <v>0</v>
      </c>
      <c r="Y16" s="49" t="s">
        <v>168</v>
      </c>
      <c r="Z16" s="49">
        <v>0</v>
      </c>
      <c r="AA16" s="49" t="s">
        <v>168</v>
      </c>
    </row>
    <row r="17" spans="2:27" ht="15" customHeight="1" x14ac:dyDescent="0.25">
      <c r="B17" s="261">
        <v>9263</v>
      </c>
      <c r="C17" s="262" t="s">
        <v>169</v>
      </c>
      <c r="D17" s="270" t="s">
        <v>170</v>
      </c>
      <c r="E17" s="264" t="s">
        <v>200</v>
      </c>
      <c r="F17" s="264" t="s">
        <v>10</v>
      </c>
      <c r="G17" s="264" t="s">
        <v>10</v>
      </c>
      <c r="H17" s="264" t="s">
        <v>167</v>
      </c>
      <c r="I17" s="265">
        <v>13293723</v>
      </c>
      <c r="J17" s="266">
        <v>14686645</v>
      </c>
      <c r="K17" s="267">
        <v>0.93808178389100005</v>
      </c>
      <c r="L17" s="267">
        <v>0.99720889284100001</v>
      </c>
      <c r="M17" s="267">
        <v>0.96490226324700001</v>
      </c>
      <c r="N17" s="267">
        <v>3.50977367534E-2</v>
      </c>
      <c r="O17" s="267">
        <v>1.7052226699799999E-2</v>
      </c>
      <c r="P17" s="267">
        <v>1.8629169561900001E-4</v>
      </c>
      <c r="Q17" s="267">
        <v>0</v>
      </c>
      <c r="R17" s="267">
        <v>0</v>
      </c>
      <c r="S17" s="267">
        <v>0</v>
      </c>
      <c r="T17" s="267">
        <v>1.81598996912E-2</v>
      </c>
      <c r="U17" s="267">
        <v>0.55143491405699996</v>
      </c>
      <c r="V17" s="268">
        <v>0.55143491405699996</v>
      </c>
      <c r="W17" s="269" t="s">
        <v>168</v>
      </c>
      <c r="X17" s="268">
        <v>0</v>
      </c>
      <c r="Y17" s="267" t="s">
        <v>168</v>
      </c>
      <c r="Z17" s="267">
        <v>0</v>
      </c>
      <c r="AA17" s="267" t="s">
        <v>168</v>
      </c>
    </row>
    <row r="18" spans="2:27" ht="15" customHeight="1" x14ac:dyDescent="0.25">
      <c r="B18" s="261">
        <v>6643</v>
      </c>
      <c r="C18" s="262" t="s">
        <v>171</v>
      </c>
      <c r="D18" s="270" t="s">
        <v>172</v>
      </c>
      <c r="E18" s="264" t="s">
        <v>200</v>
      </c>
      <c r="F18" s="264" t="s">
        <v>10</v>
      </c>
      <c r="G18" s="264" t="s">
        <v>10</v>
      </c>
      <c r="H18" s="264" t="s">
        <v>167</v>
      </c>
      <c r="I18" s="265">
        <v>9164482</v>
      </c>
      <c r="J18" s="266">
        <v>10982254</v>
      </c>
      <c r="K18" s="267">
        <v>0.89010639145100001</v>
      </c>
      <c r="L18" s="267">
        <v>0.95563560995800001</v>
      </c>
      <c r="M18" s="267">
        <v>0.937506999929</v>
      </c>
      <c r="N18" s="267">
        <v>6.2493000070799998E-2</v>
      </c>
      <c r="O18" s="267">
        <v>3.2838158724100001E-2</v>
      </c>
      <c r="P18" s="267">
        <v>1.20740241484E-4</v>
      </c>
      <c r="Q18" s="267">
        <v>0</v>
      </c>
      <c r="R18" s="267">
        <v>0</v>
      </c>
      <c r="S18" s="267">
        <v>0</v>
      </c>
      <c r="T18" s="267">
        <v>3.0351419663E-2</v>
      </c>
      <c r="U18" s="267">
        <v>0.52360678977800001</v>
      </c>
      <c r="V18" s="268">
        <v>0.52360678977800001</v>
      </c>
      <c r="W18" s="269" t="s">
        <v>168</v>
      </c>
      <c r="X18" s="268">
        <v>0</v>
      </c>
      <c r="Y18" s="267" t="s">
        <v>168</v>
      </c>
      <c r="Z18" s="267">
        <v>0</v>
      </c>
      <c r="AA18" s="267" t="s">
        <v>168</v>
      </c>
    </row>
    <row r="19" spans="2:27" ht="15" customHeight="1" x14ac:dyDescent="0.25">
      <c r="B19" s="261">
        <v>7414</v>
      </c>
      <c r="C19" s="262" t="s">
        <v>165</v>
      </c>
      <c r="D19" s="270" t="s">
        <v>173</v>
      </c>
      <c r="E19" s="264" t="s">
        <v>200</v>
      </c>
      <c r="F19" s="264" t="s">
        <v>10</v>
      </c>
      <c r="G19" s="264" t="s">
        <v>10</v>
      </c>
      <c r="H19" s="264" t="s">
        <v>167</v>
      </c>
      <c r="I19" s="265">
        <v>2457051</v>
      </c>
      <c r="J19" s="266">
        <v>2890524</v>
      </c>
      <c r="K19" s="267">
        <v>0.907915551195</v>
      </c>
      <c r="L19" s="267">
        <v>0.99766997264199997</v>
      </c>
      <c r="M19" s="267">
        <v>0.93625065905000004</v>
      </c>
      <c r="N19" s="267">
        <v>6.3749340949899994E-2</v>
      </c>
      <c r="O19" s="267">
        <v>4.1249268298799997E-2</v>
      </c>
      <c r="P19" s="267">
        <v>2.2732902408E-3</v>
      </c>
      <c r="Q19" s="267">
        <v>0</v>
      </c>
      <c r="R19" s="267">
        <v>0</v>
      </c>
      <c r="S19" s="267">
        <v>0</v>
      </c>
      <c r="T19" s="267">
        <v>2.2051365081200001E-2</v>
      </c>
      <c r="U19" s="267">
        <v>0.60063995415600002</v>
      </c>
      <c r="V19" s="268">
        <v>0.60063995415600002</v>
      </c>
      <c r="W19" s="269" t="s">
        <v>168</v>
      </c>
      <c r="X19" s="268">
        <v>0</v>
      </c>
      <c r="Y19" s="267" t="s">
        <v>168</v>
      </c>
      <c r="Z19" s="267">
        <v>0</v>
      </c>
      <c r="AA19" s="267" t="s">
        <v>168</v>
      </c>
    </row>
    <row r="20" spans="2:27" ht="15" customHeight="1" x14ac:dyDescent="0.25">
      <c r="B20" s="261">
        <v>6631</v>
      </c>
      <c r="C20" s="262" t="s">
        <v>174</v>
      </c>
      <c r="D20" s="270" t="s">
        <v>175</v>
      </c>
      <c r="E20" s="264" t="s">
        <v>201</v>
      </c>
      <c r="F20" s="264" t="s">
        <v>10</v>
      </c>
      <c r="G20" s="264" t="s">
        <v>10</v>
      </c>
      <c r="H20" s="264" t="s">
        <v>167</v>
      </c>
      <c r="I20" s="265">
        <v>1375356</v>
      </c>
      <c r="J20" s="266">
        <v>2304149</v>
      </c>
      <c r="K20" s="267">
        <v>0.60177071688399997</v>
      </c>
      <c r="L20" s="267">
        <v>0.81847311089700003</v>
      </c>
      <c r="M20" s="267">
        <v>0.991912849386</v>
      </c>
      <c r="N20" s="267">
        <v>8.0871506139600004E-3</v>
      </c>
      <c r="O20" s="267">
        <v>4.4797450164899997E-3</v>
      </c>
      <c r="P20" s="267">
        <v>1.9356387108599999E-4</v>
      </c>
      <c r="Q20" s="267">
        <v>0</v>
      </c>
      <c r="R20" s="267">
        <v>0</v>
      </c>
      <c r="S20" s="267">
        <v>0</v>
      </c>
      <c r="T20" s="267">
        <v>3.5809316150999999E-3</v>
      </c>
      <c r="U20" s="267">
        <v>0.61658945029500001</v>
      </c>
      <c r="V20" s="268">
        <v>0.61658945029500001</v>
      </c>
      <c r="W20" s="269" t="s">
        <v>168</v>
      </c>
      <c r="X20" s="268">
        <v>0</v>
      </c>
      <c r="Y20" s="267" t="s">
        <v>168</v>
      </c>
      <c r="Z20" s="267">
        <v>0</v>
      </c>
      <c r="AA20" s="267" t="s">
        <v>168</v>
      </c>
    </row>
    <row r="21" spans="2:27" ht="15" customHeight="1" x14ac:dyDescent="0.25">
      <c r="B21" s="261">
        <v>6631</v>
      </c>
      <c r="C21" s="262" t="s">
        <v>174</v>
      </c>
      <c r="D21" s="270" t="s">
        <v>181</v>
      </c>
      <c r="E21" s="264" t="s">
        <v>201</v>
      </c>
      <c r="F21" s="264" t="s">
        <v>10</v>
      </c>
      <c r="G21" s="264" t="s">
        <v>10</v>
      </c>
      <c r="H21" s="264" t="s">
        <v>167</v>
      </c>
      <c r="I21" s="265">
        <v>1201449</v>
      </c>
      <c r="J21" s="266">
        <v>2277070</v>
      </c>
      <c r="K21" s="267">
        <v>0.53111568203899995</v>
      </c>
      <c r="L21" s="267">
        <v>0.92885286793999999</v>
      </c>
      <c r="M21" s="267">
        <v>0.993435862753</v>
      </c>
      <c r="N21" s="267">
        <v>6.5641372465500003E-3</v>
      </c>
      <c r="O21" s="267">
        <v>3.2941455466900002E-3</v>
      </c>
      <c r="P21" s="267">
        <v>1.8137343164699999E-4</v>
      </c>
      <c r="Q21" s="267">
        <v>0</v>
      </c>
      <c r="R21" s="267">
        <v>0</v>
      </c>
      <c r="S21" s="267">
        <v>0</v>
      </c>
      <c r="T21" s="267">
        <v>3.2506686224E-3</v>
      </c>
      <c r="U21" s="267">
        <v>0.60079620524900001</v>
      </c>
      <c r="V21" s="268">
        <v>0.60079620524900001</v>
      </c>
      <c r="W21" s="269" t="s">
        <v>168</v>
      </c>
      <c r="X21" s="268">
        <v>0</v>
      </c>
      <c r="Y21" s="267" t="s">
        <v>168</v>
      </c>
      <c r="Z21" s="267">
        <v>0</v>
      </c>
      <c r="AA21" s="267" t="s">
        <v>168</v>
      </c>
    </row>
    <row r="22" spans="2:27" ht="15" customHeight="1" x14ac:dyDescent="0.25">
      <c r="B22" s="261">
        <v>6631</v>
      </c>
      <c r="C22" s="262" t="s">
        <v>174</v>
      </c>
      <c r="D22" s="270" t="s">
        <v>182</v>
      </c>
      <c r="E22" s="264" t="s">
        <v>201</v>
      </c>
      <c r="F22" s="264" t="s">
        <v>10</v>
      </c>
      <c r="G22" s="264" t="s">
        <v>10</v>
      </c>
      <c r="H22" s="264" t="s">
        <v>167</v>
      </c>
      <c r="I22" s="265">
        <v>1063614</v>
      </c>
      <c r="J22" s="266">
        <v>1999358</v>
      </c>
      <c r="K22" s="267">
        <v>0.53512719669200004</v>
      </c>
      <c r="L22" s="267">
        <v>0.90589829335200001</v>
      </c>
      <c r="M22" s="267">
        <v>0.99411461078999996</v>
      </c>
      <c r="N22" s="267">
        <v>5.8853892099399998E-3</v>
      </c>
      <c r="O22" s="267">
        <v>2.9244387448400001E-3</v>
      </c>
      <c r="P22" s="267">
        <v>2.17569839919E-4</v>
      </c>
      <c r="Q22" s="267">
        <v>0</v>
      </c>
      <c r="R22" s="267">
        <v>0</v>
      </c>
      <c r="S22" s="267">
        <v>0</v>
      </c>
      <c r="T22" s="267">
        <v>2.8774236529899998E-3</v>
      </c>
      <c r="U22" s="267">
        <v>0.63119139086200005</v>
      </c>
      <c r="V22" s="268">
        <v>0.63119139086200005</v>
      </c>
      <c r="W22" s="269" t="s">
        <v>168</v>
      </c>
      <c r="X22" s="268">
        <v>0</v>
      </c>
      <c r="Y22" s="267" t="s">
        <v>168</v>
      </c>
      <c r="Z22" s="267">
        <v>0</v>
      </c>
      <c r="AA22" s="267" t="s">
        <v>168</v>
      </c>
    </row>
    <row r="23" spans="2:27" ht="15" customHeight="1" x14ac:dyDescent="0.25">
      <c r="B23" s="261">
        <v>8218</v>
      </c>
      <c r="C23" s="262" t="s">
        <v>176</v>
      </c>
      <c r="D23" s="270" t="s">
        <v>177</v>
      </c>
      <c r="E23" s="264" t="s">
        <v>200</v>
      </c>
      <c r="F23" s="264" t="s">
        <v>10</v>
      </c>
      <c r="G23" s="264" t="s">
        <v>10</v>
      </c>
      <c r="H23" s="264" t="s">
        <v>167</v>
      </c>
      <c r="I23" s="265">
        <v>1778015</v>
      </c>
      <c r="J23" s="266">
        <v>1991362</v>
      </c>
      <c r="K23" s="267">
        <v>0.93857802933000001</v>
      </c>
      <c r="L23" s="267">
        <v>0.999452635935</v>
      </c>
      <c r="M23" s="267">
        <v>0.951294139388</v>
      </c>
      <c r="N23" s="267">
        <v>4.8705860612000003E-2</v>
      </c>
      <c r="O23" s="267">
        <v>1.4428818065199999E-2</v>
      </c>
      <c r="P23" s="267">
        <v>3.01301320403E-4</v>
      </c>
      <c r="Q23" s="267">
        <v>0</v>
      </c>
      <c r="R23" s="267">
        <v>1.12184524963E-2</v>
      </c>
      <c r="S23" s="267">
        <v>0</v>
      </c>
      <c r="T23" s="267">
        <v>2.33197178614E-2</v>
      </c>
      <c r="U23" s="267">
        <v>0.55784568746600005</v>
      </c>
      <c r="V23" s="268">
        <v>0.55784568746600005</v>
      </c>
      <c r="W23" s="269" t="s">
        <v>168</v>
      </c>
      <c r="X23" s="268">
        <v>0</v>
      </c>
      <c r="Y23" s="267" t="s">
        <v>168</v>
      </c>
      <c r="Z23" s="267">
        <v>0</v>
      </c>
      <c r="AA23" s="267" t="s">
        <v>168</v>
      </c>
    </row>
    <row r="24" spans="2:27" ht="15" customHeight="1" x14ac:dyDescent="0.25">
      <c r="B24" s="261">
        <v>9350</v>
      </c>
      <c r="C24" s="262" t="s">
        <v>179</v>
      </c>
      <c r="D24" s="270" t="s">
        <v>180</v>
      </c>
      <c r="E24" s="264" t="s">
        <v>200</v>
      </c>
      <c r="F24" s="264" t="s">
        <v>10</v>
      </c>
      <c r="G24" s="264" t="s">
        <v>10</v>
      </c>
      <c r="H24" s="264" t="s">
        <v>167</v>
      </c>
      <c r="I24" s="265">
        <v>1700783</v>
      </c>
      <c r="J24" s="266">
        <v>1960433</v>
      </c>
      <c r="K24" s="267">
        <v>0.95993875023800002</v>
      </c>
      <c r="L24" s="267">
        <v>0.99864264680299997</v>
      </c>
      <c r="M24" s="267">
        <v>0.90376054677700002</v>
      </c>
      <c r="N24" s="267">
        <v>9.6239453222800003E-2</v>
      </c>
      <c r="O24" s="267">
        <v>6.8783783990600006E-2</v>
      </c>
      <c r="P24" s="267">
        <v>5.0295011357199995E-4</v>
      </c>
      <c r="Q24" s="267">
        <v>0</v>
      </c>
      <c r="R24" s="267">
        <v>0</v>
      </c>
      <c r="S24" s="267">
        <v>0</v>
      </c>
      <c r="T24" s="267">
        <v>2.8798739870199999E-2</v>
      </c>
      <c r="U24" s="267">
        <v>0.57931023534500004</v>
      </c>
      <c r="V24" s="268">
        <v>0.57931023534500004</v>
      </c>
      <c r="W24" s="269" t="s">
        <v>168</v>
      </c>
      <c r="X24" s="268">
        <v>0</v>
      </c>
      <c r="Y24" s="267" t="s">
        <v>168</v>
      </c>
      <c r="Z24" s="267">
        <v>0</v>
      </c>
      <c r="AA24" s="267" t="s">
        <v>168</v>
      </c>
    </row>
    <row r="25" spans="2:27" ht="15" customHeight="1" x14ac:dyDescent="0.25">
      <c r="B25" s="261">
        <v>6643</v>
      </c>
      <c r="C25" s="262" t="s">
        <v>171</v>
      </c>
      <c r="D25" s="270" t="s">
        <v>172</v>
      </c>
      <c r="E25" s="264" t="s">
        <v>201</v>
      </c>
      <c r="F25" s="264" t="s">
        <v>10</v>
      </c>
      <c r="G25" s="264" t="s">
        <v>10</v>
      </c>
      <c r="H25" s="264" t="s">
        <v>167</v>
      </c>
      <c r="I25" s="265">
        <v>1350682</v>
      </c>
      <c r="J25" s="266">
        <v>1874246</v>
      </c>
      <c r="K25" s="267">
        <v>0.73771317338300002</v>
      </c>
      <c r="L25" s="267">
        <v>0.78841091297499999</v>
      </c>
      <c r="M25" s="267">
        <v>0.97687496732000001</v>
      </c>
      <c r="N25" s="267">
        <v>2.3125032679800001E-2</v>
      </c>
      <c r="O25" s="267">
        <v>1.7166369836199999E-2</v>
      </c>
      <c r="P25" s="267">
        <v>2.3689526348200001E-4</v>
      </c>
      <c r="Q25" s="267">
        <v>0</v>
      </c>
      <c r="R25" s="267">
        <v>0</v>
      </c>
      <c r="S25" s="267">
        <v>0</v>
      </c>
      <c r="T25" s="267">
        <v>6.0584362991799997E-3</v>
      </c>
      <c r="U25" s="267">
        <v>0.44511143259500002</v>
      </c>
      <c r="V25" s="268">
        <v>0.44511143259500002</v>
      </c>
      <c r="W25" s="269" t="s">
        <v>168</v>
      </c>
      <c r="X25" s="268">
        <v>0</v>
      </c>
      <c r="Y25" s="267" t="s">
        <v>168</v>
      </c>
      <c r="Z25" s="267">
        <v>0</v>
      </c>
      <c r="AA25" s="267" t="s">
        <v>168</v>
      </c>
    </row>
    <row r="26" spans="2:27" ht="15" customHeight="1" x14ac:dyDescent="0.25">
      <c r="B26" s="261">
        <v>9263</v>
      </c>
      <c r="C26" s="262" t="s">
        <v>169</v>
      </c>
      <c r="D26" s="270" t="s">
        <v>183</v>
      </c>
      <c r="E26" s="264" t="s">
        <v>200</v>
      </c>
      <c r="F26" s="264" t="s">
        <v>10</v>
      </c>
      <c r="G26" s="264" t="s">
        <v>10</v>
      </c>
      <c r="H26" s="264" t="s">
        <v>167</v>
      </c>
      <c r="I26" s="265">
        <v>1689425</v>
      </c>
      <c r="J26" s="266">
        <v>1840352</v>
      </c>
      <c r="K26" s="267">
        <v>0.946007692708</v>
      </c>
      <c r="L26" s="267">
        <v>0.99626267148900005</v>
      </c>
      <c r="M26" s="267">
        <v>0.97038338317899997</v>
      </c>
      <c r="N26" s="267">
        <v>2.9616616821099999E-2</v>
      </c>
      <c r="O26" s="267">
        <v>1.4374424023199999E-2</v>
      </c>
      <c r="P26" s="267">
        <v>2.5375580323800002E-4</v>
      </c>
      <c r="Q26" s="267">
        <v>0</v>
      </c>
      <c r="R26" s="267">
        <v>0</v>
      </c>
      <c r="S26" s="267">
        <v>0</v>
      </c>
      <c r="T26" s="267">
        <v>1.5311201335399999E-2</v>
      </c>
      <c r="U26" s="267">
        <v>0.54898027435399999</v>
      </c>
      <c r="V26" s="268">
        <v>0.54898027435399999</v>
      </c>
      <c r="W26" s="269" t="s">
        <v>168</v>
      </c>
      <c r="X26" s="268">
        <v>0</v>
      </c>
      <c r="Y26" s="267" t="s">
        <v>168</v>
      </c>
      <c r="Z26" s="267">
        <v>0</v>
      </c>
      <c r="AA26" s="267" t="s">
        <v>168</v>
      </c>
    </row>
    <row r="27" spans="2:27" ht="15" customHeight="1" x14ac:dyDescent="0.25">
      <c r="B27" s="261">
        <v>6631</v>
      </c>
      <c r="C27" s="262" t="s">
        <v>174</v>
      </c>
      <c r="D27" s="270" t="s">
        <v>178</v>
      </c>
      <c r="E27" s="264" t="s">
        <v>201</v>
      </c>
      <c r="F27" s="264" t="s">
        <v>10</v>
      </c>
      <c r="G27" s="264" t="s">
        <v>10</v>
      </c>
      <c r="H27" s="264" t="s">
        <v>167</v>
      </c>
      <c r="I27" s="265">
        <v>1023622</v>
      </c>
      <c r="J27" s="266">
        <v>1568610</v>
      </c>
      <c r="K27" s="267">
        <v>0.65971518652899996</v>
      </c>
      <c r="L27" s="267">
        <v>0.89213061245299996</v>
      </c>
      <c r="M27" s="267">
        <v>0.98916365444599996</v>
      </c>
      <c r="N27" s="267">
        <v>1.0836345554300001E-2</v>
      </c>
      <c r="O27" s="267">
        <v>7.3102938270200001E-3</v>
      </c>
      <c r="P27" s="267">
        <v>2.54365329814E-4</v>
      </c>
      <c r="Q27" s="267">
        <v>0</v>
      </c>
      <c r="R27" s="267">
        <v>0</v>
      </c>
      <c r="S27" s="267">
        <v>0</v>
      </c>
      <c r="T27" s="267">
        <v>3.5005514436300001E-3</v>
      </c>
      <c r="U27" s="267">
        <v>0.63257921381100002</v>
      </c>
      <c r="V27" s="268">
        <v>0.63257921381100002</v>
      </c>
      <c r="W27" s="269" t="s">
        <v>168</v>
      </c>
      <c r="X27" s="268">
        <v>0</v>
      </c>
      <c r="Y27" s="267" t="s">
        <v>168</v>
      </c>
      <c r="Z27" s="267">
        <v>0</v>
      </c>
      <c r="AA27" s="267" t="s">
        <v>168</v>
      </c>
    </row>
    <row r="28" spans="2:27" ht="15" customHeight="1" x14ac:dyDescent="0.25">
      <c r="B28" s="261">
        <v>6631</v>
      </c>
      <c r="C28" s="262" t="s">
        <v>174</v>
      </c>
      <c r="D28" s="270" t="s">
        <v>184</v>
      </c>
      <c r="E28" s="264" t="s">
        <v>201</v>
      </c>
      <c r="F28" s="264" t="s">
        <v>10</v>
      </c>
      <c r="G28" s="264" t="s">
        <v>10</v>
      </c>
      <c r="H28" s="264" t="s">
        <v>167</v>
      </c>
      <c r="I28" s="265">
        <v>792983</v>
      </c>
      <c r="J28" s="266">
        <v>1429323</v>
      </c>
      <c r="K28" s="267">
        <v>0.55894296192600001</v>
      </c>
      <c r="L28" s="267">
        <v>0.88658266885799997</v>
      </c>
      <c r="M28" s="267">
        <v>0.99258110308199998</v>
      </c>
      <c r="N28" s="267">
        <v>7.4188969183300001E-3</v>
      </c>
      <c r="O28" s="267">
        <v>3.9536200005200004E-3</v>
      </c>
      <c r="P28" s="267">
        <v>2.31578166726E-4</v>
      </c>
      <c r="Q28" s="267">
        <v>0</v>
      </c>
      <c r="R28" s="267">
        <v>0</v>
      </c>
      <c r="S28" s="267">
        <v>0</v>
      </c>
      <c r="T28" s="267">
        <v>3.4358923770200001E-3</v>
      </c>
      <c r="U28" s="267">
        <v>0.65187778300400001</v>
      </c>
      <c r="V28" s="268">
        <v>0.65187778300400001</v>
      </c>
      <c r="W28" s="269" t="s">
        <v>168</v>
      </c>
      <c r="X28" s="268">
        <v>0</v>
      </c>
      <c r="Y28" s="267" t="s">
        <v>168</v>
      </c>
      <c r="Z28" s="267">
        <v>0</v>
      </c>
      <c r="AA28" s="267" t="s">
        <v>168</v>
      </c>
    </row>
    <row r="29" spans="2:27" ht="15" customHeight="1" x14ac:dyDescent="0.25">
      <c r="B29" s="261">
        <v>6631</v>
      </c>
      <c r="C29" s="262" t="s">
        <v>174</v>
      </c>
      <c r="D29" s="270" t="s">
        <v>178</v>
      </c>
      <c r="E29" s="264" t="s">
        <v>200</v>
      </c>
      <c r="F29" s="264" t="s">
        <v>10</v>
      </c>
      <c r="G29" s="264" t="s">
        <v>10</v>
      </c>
      <c r="H29" s="264" t="s">
        <v>167</v>
      </c>
      <c r="I29" s="265">
        <v>1255748</v>
      </c>
      <c r="J29" s="266">
        <v>1386133</v>
      </c>
      <c r="K29" s="267">
        <v>0.94232079555000003</v>
      </c>
      <c r="L29" s="267">
        <v>0.99932113296500003</v>
      </c>
      <c r="M29" s="267">
        <v>0.96138826505099995</v>
      </c>
      <c r="N29" s="267">
        <v>3.8611734948999998E-2</v>
      </c>
      <c r="O29" s="267">
        <v>1.43680296191E-2</v>
      </c>
      <c r="P29" s="267">
        <v>2.08493701542E-4</v>
      </c>
      <c r="Q29" s="267">
        <v>0</v>
      </c>
      <c r="R29" s="267">
        <v>0</v>
      </c>
      <c r="S29" s="267">
        <v>0</v>
      </c>
      <c r="T29" s="267">
        <v>2.43627415262E-2</v>
      </c>
      <c r="U29" s="267">
        <v>0.70541143605199996</v>
      </c>
      <c r="V29" s="268">
        <v>0.70541143605199996</v>
      </c>
      <c r="W29" s="269" t="s">
        <v>168</v>
      </c>
      <c r="X29" s="268">
        <v>0</v>
      </c>
      <c r="Y29" s="267" t="s">
        <v>168</v>
      </c>
      <c r="Z29" s="267">
        <v>0</v>
      </c>
      <c r="AA29" s="267" t="s">
        <v>168</v>
      </c>
    </row>
    <row r="30" spans="2:27" ht="15" customHeight="1" x14ac:dyDescent="0.25">
      <c r="B30" s="261">
        <v>6631</v>
      </c>
      <c r="C30" s="262" t="s">
        <v>174</v>
      </c>
      <c r="D30" s="270" t="s">
        <v>188</v>
      </c>
      <c r="E30" s="264" t="s">
        <v>201</v>
      </c>
      <c r="F30" s="264" t="s">
        <v>10</v>
      </c>
      <c r="G30" s="264" t="s">
        <v>10</v>
      </c>
      <c r="H30" s="264" t="s">
        <v>167</v>
      </c>
      <c r="I30" s="265">
        <v>879128</v>
      </c>
      <c r="J30" s="266">
        <v>1374325</v>
      </c>
      <c r="K30" s="267">
        <v>0.64699947084800002</v>
      </c>
      <c r="L30" s="267">
        <v>0.90398632055700001</v>
      </c>
      <c r="M30" s="267">
        <v>0.98868680988799995</v>
      </c>
      <c r="N30" s="267">
        <v>1.1313190111499999E-2</v>
      </c>
      <c r="O30" s="267">
        <v>7.3119531406300002E-3</v>
      </c>
      <c r="P30" s="267">
        <v>2.7140596292700003E-4</v>
      </c>
      <c r="Q30" s="267">
        <v>0</v>
      </c>
      <c r="R30" s="267">
        <v>0</v>
      </c>
      <c r="S30" s="267">
        <v>0</v>
      </c>
      <c r="T30" s="267">
        <v>3.9961435613800004E-3</v>
      </c>
      <c r="U30" s="267">
        <v>0.60161318943300002</v>
      </c>
      <c r="V30" s="268">
        <v>0.60161318943300002</v>
      </c>
      <c r="W30" s="269" t="s">
        <v>168</v>
      </c>
      <c r="X30" s="268">
        <v>0</v>
      </c>
      <c r="Y30" s="267" t="s">
        <v>168</v>
      </c>
      <c r="Z30" s="267">
        <v>0</v>
      </c>
      <c r="AA30" s="267" t="s">
        <v>168</v>
      </c>
    </row>
    <row r="31" spans="2:27" ht="15" customHeight="1" x14ac:dyDescent="0.25">
      <c r="B31" s="261">
        <v>7414</v>
      </c>
      <c r="C31" s="262" t="s">
        <v>165</v>
      </c>
      <c r="D31" s="270" t="s">
        <v>185</v>
      </c>
      <c r="E31" s="264" t="s">
        <v>200</v>
      </c>
      <c r="F31" s="264" t="s">
        <v>10</v>
      </c>
      <c r="G31" s="264" t="s">
        <v>10</v>
      </c>
      <c r="H31" s="264" t="s">
        <v>167</v>
      </c>
      <c r="I31" s="265">
        <v>1172332</v>
      </c>
      <c r="J31" s="266">
        <v>1298328</v>
      </c>
      <c r="K31" s="267">
        <v>0.939974150013</v>
      </c>
      <c r="L31" s="267">
        <v>0.99583926403800005</v>
      </c>
      <c r="M31" s="267">
        <v>0.96061703976199997</v>
      </c>
      <c r="N31" s="267">
        <v>3.93829602381E-2</v>
      </c>
      <c r="O31" s="267">
        <v>2.49212833737E-2</v>
      </c>
      <c r="P31" s="267">
        <v>2.5417305950399999E-4</v>
      </c>
      <c r="Q31" s="267">
        <v>0</v>
      </c>
      <c r="R31" s="267">
        <v>0</v>
      </c>
      <c r="S31" s="267">
        <v>0</v>
      </c>
      <c r="T31" s="267">
        <v>1.46010869364E-2</v>
      </c>
      <c r="U31" s="267">
        <v>0.616606899752</v>
      </c>
      <c r="V31" s="268">
        <v>0.616606899752</v>
      </c>
      <c r="W31" s="269" t="s">
        <v>168</v>
      </c>
      <c r="X31" s="268">
        <v>0</v>
      </c>
      <c r="Y31" s="267" t="s">
        <v>168</v>
      </c>
      <c r="Z31" s="267">
        <v>0</v>
      </c>
      <c r="AA31" s="267" t="s">
        <v>168</v>
      </c>
    </row>
    <row r="32" spans="2:27" ht="15" customHeight="1" x14ac:dyDescent="0.25">
      <c r="B32" s="261">
        <v>6631</v>
      </c>
      <c r="C32" s="262" t="s">
        <v>174</v>
      </c>
      <c r="D32" s="270" t="s">
        <v>175</v>
      </c>
      <c r="E32" s="264" t="s">
        <v>200</v>
      </c>
      <c r="F32" s="264" t="s">
        <v>10</v>
      </c>
      <c r="G32" s="264" t="s">
        <v>10</v>
      </c>
      <c r="H32" s="264" t="s">
        <v>167</v>
      </c>
      <c r="I32" s="265">
        <v>1147079</v>
      </c>
      <c r="J32" s="266">
        <v>1255569</v>
      </c>
      <c r="K32" s="267">
        <v>0.95044440780299999</v>
      </c>
      <c r="L32" s="267">
        <v>0.99919717673800001</v>
      </c>
      <c r="M32" s="267">
        <v>0.96122714084200001</v>
      </c>
      <c r="N32" s="267">
        <v>3.8772859157899998E-2</v>
      </c>
      <c r="O32" s="267">
        <v>1.5052139707200001E-2</v>
      </c>
      <c r="P32" s="267">
        <v>4.2371227706300001E-4</v>
      </c>
      <c r="Q32" s="267">
        <v>0</v>
      </c>
      <c r="R32" s="267">
        <v>0</v>
      </c>
      <c r="S32" s="267">
        <v>0</v>
      </c>
      <c r="T32" s="267">
        <v>2.3694436546300001E-2</v>
      </c>
      <c r="U32" s="267">
        <v>0.689041469681</v>
      </c>
      <c r="V32" s="268">
        <v>0.689041469681</v>
      </c>
      <c r="W32" s="269" t="s">
        <v>168</v>
      </c>
      <c r="X32" s="268">
        <v>0</v>
      </c>
      <c r="Y32" s="267" t="s">
        <v>168</v>
      </c>
      <c r="Z32" s="267">
        <v>0</v>
      </c>
      <c r="AA32" s="267" t="s">
        <v>168</v>
      </c>
    </row>
    <row r="33" spans="2:27" ht="15" customHeight="1" x14ac:dyDescent="0.25">
      <c r="B33" s="261">
        <v>8218</v>
      </c>
      <c r="C33" s="262" t="s">
        <v>176</v>
      </c>
      <c r="D33" s="270" t="s">
        <v>186</v>
      </c>
      <c r="E33" s="264" t="s">
        <v>200</v>
      </c>
      <c r="F33" s="264" t="s">
        <v>10</v>
      </c>
      <c r="G33" s="264" t="s">
        <v>10</v>
      </c>
      <c r="H33" s="264" t="s">
        <v>167</v>
      </c>
      <c r="I33" s="265">
        <v>1117220</v>
      </c>
      <c r="J33" s="266">
        <v>1255539</v>
      </c>
      <c r="K33" s="267">
        <v>0.94345613581700005</v>
      </c>
      <c r="L33" s="267">
        <v>0.99931503521599996</v>
      </c>
      <c r="M33" s="267">
        <v>0.943163055867</v>
      </c>
      <c r="N33" s="267">
        <v>5.68369441332E-2</v>
      </c>
      <c r="O33" s="267">
        <v>1.8133247951700002E-2</v>
      </c>
      <c r="P33" s="267">
        <v>3.3770356794999998E-4</v>
      </c>
      <c r="Q33" s="267">
        <v>0</v>
      </c>
      <c r="R33" s="267">
        <v>9.7997752359700006E-3</v>
      </c>
      <c r="S33" s="267">
        <v>0</v>
      </c>
      <c r="T33" s="267">
        <v>2.91245433236E-2</v>
      </c>
      <c r="U33" s="267">
        <v>0.62446161006800005</v>
      </c>
      <c r="V33" s="268">
        <v>0.62446161006800005</v>
      </c>
      <c r="W33" s="269" t="s">
        <v>168</v>
      </c>
      <c r="X33" s="268">
        <v>0</v>
      </c>
      <c r="Y33" s="267" t="s">
        <v>168</v>
      </c>
      <c r="Z33" s="267">
        <v>0</v>
      </c>
      <c r="AA33" s="267" t="s">
        <v>168</v>
      </c>
    </row>
    <row r="34" spans="2:27" ht="15" customHeight="1" x14ac:dyDescent="0.25">
      <c r="B34" s="261">
        <v>8218</v>
      </c>
      <c r="C34" s="262" t="s">
        <v>176</v>
      </c>
      <c r="D34" s="270" t="s">
        <v>187</v>
      </c>
      <c r="E34" s="264" t="s">
        <v>202</v>
      </c>
      <c r="F34" s="264" t="s">
        <v>10</v>
      </c>
      <c r="G34" s="264" t="s">
        <v>10</v>
      </c>
      <c r="H34" s="264" t="s">
        <v>167</v>
      </c>
      <c r="I34" s="265">
        <v>1092769</v>
      </c>
      <c r="J34" s="266">
        <v>1178355</v>
      </c>
      <c r="K34" s="267">
        <v>0.97393786691899997</v>
      </c>
      <c r="L34" s="267">
        <v>0.99937964365599996</v>
      </c>
      <c r="M34" s="267">
        <v>0.95218418897500001</v>
      </c>
      <c r="N34" s="267">
        <v>4.7815811024699999E-2</v>
      </c>
      <c r="O34" s="267">
        <v>2.15631112865E-2</v>
      </c>
      <c r="P34" s="267">
        <v>1.99430562097E-4</v>
      </c>
      <c r="Q34" s="267">
        <v>0</v>
      </c>
      <c r="R34" s="267">
        <v>8.6213407674299997E-3</v>
      </c>
      <c r="S34" s="267">
        <v>0</v>
      </c>
      <c r="T34" s="267">
        <v>1.7908015835599998E-2</v>
      </c>
      <c r="U34" s="267">
        <v>0.57140896200400004</v>
      </c>
      <c r="V34" s="268">
        <v>0.57140896200400004</v>
      </c>
      <c r="W34" s="269" t="s">
        <v>168</v>
      </c>
      <c r="X34" s="268">
        <v>0</v>
      </c>
      <c r="Y34" s="267" t="s">
        <v>168</v>
      </c>
      <c r="Z34" s="267">
        <v>0</v>
      </c>
      <c r="AA34" s="267" t="s">
        <v>168</v>
      </c>
    </row>
    <row r="35" spans="2:27" ht="15" customHeight="1" x14ac:dyDescent="0.25">
      <c r="B35" s="261">
        <v>6643</v>
      </c>
      <c r="C35" s="262" t="s">
        <v>171</v>
      </c>
      <c r="D35" s="270" t="s">
        <v>172</v>
      </c>
      <c r="E35" s="264" t="s">
        <v>203</v>
      </c>
      <c r="F35" s="264" t="s">
        <v>10</v>
      </c>
      <c r="G35" s="264" t="s">
        <v>10</v>
      </c>
      <c r="H35" s="264" t="s">
        <v>167</v>
      </c>
      <c r="I35" s="265">
        <v>669440</v>
      </c>
      <c r="J35" s="266">
        <v>1097126</v>
      </c>
      <c r="K35" s="267">
        <v>0.62014527243899997</v>
      </c>
      <c r="L35" s="267">
        <v>0.79009612387299999</v>
      </c>
      <c r="M35" s="267">
        <v>0.98392436238000003</v>
      </c>
      <c r="N35" s="267">
        <v>1.6075637620499999E-2</v>
      </c>
      <c r="O35" s="267">
        <v>1.08155307595E-2</v>
      </c>
      <c r="P35" s="267">
        <v>2.49743420537E-4</v>
      </c>
      <c r="Q35" s="267">
        <v>0</v>
      </c>
      <c r="R35" s="267">
        <v>0</v>
      </c>
      <c r="S35" s="267">
        <v>0</v>
      </c>
      <c r="T35" s="267">
        <v>5.32937875868E-3</v>
      </c>
      <c r="U35" s="267">
        <v>0.48390744502900002</v>
      </c>
      <c r="V35" s="268">
        <v>0.48390744502900002</v>
      </c>
      <c r="W35" s="269" t="s">
        <v>168</v>
      </c>
      <c r="X35" s="268">
        <v>0</v>
      </c>
      <c r="Y35" s="267" t="s">
        <v>168</v>
      </c>
      <c r="Z35" s="267">
        <v>0</v>
      </c>
      <c r="AA35" s="267" t="s">
        <v>168</v>
      </c>
    </row>
    <row r="36" spans="2:27" ht="15" customHeight="1" x14ac:dyDescent="0.25">
      <c r="B36" s="261">
        <v>6631</v>
      </c>
      <c r="C36" s="262" t="s">
        <v>174</v>
      </c>
      <c r="D36" s="270" t="s">
        <v>181</v>
      </c>
      <c r="E36" s="264" t="s">
        <v>200</v>
      </c>
      <c r="F36" s="264" t="s">
        <v>10</v>
      </c>
      <c r="G36" s="264" t="s">
        <v>10</v>
      </c>
      <c r="H36" s="264" t="s">
        <v>167</v>
      </c>
      <c r="I36" s="265">
        <v>949405</v>
      </c>
      <c r="J36" s="266">
        <v>1065628</v>
      </c>
      <c r="K36" s="267">
        <v>0.94210743580199996</v>
      </c>
      <c r="L36" s="267">
        <v>0.99927366773399995</v>
      </c>
      <c r="M36" s="267">
        <v>0.94568273356200006</v>
      </c>
      <c r="N36" s="267">
        <v>5.43172664382E-2</v>
      </c>
      <c r="O36" s="267">
        <v>1.7044409493700001E-2</v>
      </c>
      <c r="P36" s="267">
        <v>6.2310675019799997E-4</v>
      </c>
      <c r="Q36" s="267">
        <v>0</v>
      </c>
      <c r="R36" s="267">
        <v>0</v>
      </c>
      <c r="S36" s="267">
        <v>0</v>
      </c>
      <c r="T36" s="267">
        <v>3.7093619912399997E-2</v>
      </c>
      <c r="U36" s="267">
        <v>0.69747789404899996</v>
      </c>
      <c r="V36" s="268">
        <v>0.69747789404899996</v>
      </c>
      <c r="W36" s="269" t="s">
        <v>168</v>
      </c>
      <c r="X36" s="268">
        <v>0</v>
      </c>
      <c r="Y36" s="267" t="s">
        <v>168</v>
      </c>
      <c r="Z36" s="267">
        <v>0</v>
      </c>
      <c r="AA36" s="267" t="s">
        <v>168</v>
      </c>
    </row>
    <row r="37" spans="2:27" ht="15" customHeight="1" x14ac:dyDescent="0.25">
      <c r="B37" s="261">
        <v>6643</v>
      </c>
      <c r="C37" s="262" t="s">
        <v>171</v>
      </c>
      <c r="D37" s="270" t="s">
        <v>172</v>
      </c>
      <c r="E37" s="264" t="s">
        <v>202</v>
      </c>
      <c r="F37" s="264" t="s">
        <v>10</v>
      </c>
      <c r="G37" s="264" t="s">
        <v>10</v>
      </c>
      <c r="H37" s="264" t="s">
        <v>167</v>
      </c>
      <c r="I37" s="265">
        <v>926826</v>
      </c>
      <c r="J37" s="266">
        <v>1014321</v>
      </c>
      <c r="K37" s="267">
        <v>0.97053806385800001</v>
      </c>
      <c r="L37" s="267">
        <v>0.97225335963699999</v>
      </c>
      <c r="M37" s="267">
        <v>0.94147809224099999</v>
      </c>
      <c r="N37" s="267">
        <v>5.8521907759E-2</v>
      </c>
      <c r="O37" s="267">
        <v>2.4627312261100001E-2</v>
      </c>
      <c r="P37" s="267">
        <v>1.07461050299E-4</v>
      </c>
      <c r="Q37" s="267">
        <v>0</v>
      </c>
      <c r="R37" s="267">
        <v>0</v>
      </c>
      <c r="S37" s="267">
        <v>0</v>
      </c>
      <c r="T37" s="267">
        <v>3.4615274651700001E-2</v>
      </c>
      <c r="U37" s="267">
        <v>0.51595121414400003</v>
      </c>
      <c r="V37" s="268">
        <v>0.51595121414400003</v>
      </c>
      <c r="W37" s="269" t="s">
        <v>168</v>
      </c>
      <c r="X37" s="268">
        <v>0</v>
      </c>
      <c r="Y37" s="267" t="s">
        <v>168</v>
      </c>
      <c r="Z37" s="267">
        <v>0</v>
      </c>
      <c r="AA37" s="267" t="s">
        <v>168</v>
      </c>
    </row>
    <row r="38" spans="2:27" ht="15" customHeight="1" x14ac:dyDescent="0.25">
      <c r="B38" s="261">
        <v>6631</v>
      </c>
      <c r="C38" s="262" t="s">
        <v>174</v>
      </c>
      <c r="D38" s="270" t="s">
        <v>190</v>
      </c>
      <c r="E38" s="264" t="s">
        <v>201</v>
      </c>
      <c r="F38" s="264" t="s">
        <v>10</v>
      </c>
      <c r="G38" s="264" t="s">
        <v>10</v>
      </c>
      <c r="H38" s="264" t="s">
        <v>167</v>
      </c>
      <c r="I38" s="265">
        <v>540563</v>
      </c>
      <c r="J38" s="266">
        <v>965721</v>
      </c>
      <c r="K38" s="267">
        <v>0.56448119729199997</v>
      </c>
      <c r="L38" s="267">
        <v>0.93375001682699998</v>
      </c>
      <c r="M38" s="267">
        <v>0.99161973282100002</v>
      </c>
      <c r="N38" s="267">
        <v>8.3802671786199993E-3</v>
      </c>
      <c r="O38" s="267">
        <v>4.3728985907900003E-3</v>
      </c>
      <c r="P38" s="267">
        <v>3.7174297752699998E-4</v>
      </c>
      <c r="Q38" s="267">
        <v>0</v>
      </c>
      <c r="R38" s="267">
        <v>0</v>
      </c>
      <c r="S38" s="267">
        <v>0</v>
      </c>
      <c r="T38" s="267">
        <v>3.9783747065700002E-3</v>
      </c>
      <c r="U38" s="267">
        <v>0.63059439880299994</v>
      </c>
      <c r="V38" s="268">
        <v>0.63059439880299994</v>
      </c>
      <c r="W38" s="269" t="s">
        <v>168</v>
      </c>
      <c r="X38" s="268">
        <v>0</v>
      </c>
      <c r="Y38" s="267" t="s">
        <v>168</v>
      </c>
      <c r="Z38" s="267">
        <v>0</v>
      </c>
      <c r="AA38" s="267" t="s">
        <v>168</v>
      </c>
    </row>
    <row r="39" spans="2:27" ht="15" customHeight="1" x14ac:dyDescent="0.25">
      <c r="B39" s="261">
        <v>6631</v>
      </c>
      <c r="C39" s="262" t="s">
        <v>174</v>
      </c>
      <c r="D39" s="270" t="s">
        <v>184</v>
      </c>
      <c r="E39" s="264" t="s">
        <v>200</v>
      </c>
      <c r="F39" s="264" t="s">
        <v>10</v>
      </c>
      <c r="G39" s="264" t="s">
        <v>10</v>
      </c>
      <c r="H39" s="264" t="s">
        <v>167</v>
      </c>
      <c r="I39" s="265">
        <v>824914</v>
      </c>
      <c r="J39" s="266">
        <v>909131</v>
      </c>
      <c r="K39" s="267">
        <v>0.93980518370800004</v>
      </c>
      <c r="L39" s="267">
        <v>0.99883405141799997</v>
      </c>
      <c r="M39" s="267">
        <v>0.96548242222500003</v>
      </c>
      <c r="N39" s="267">
        <v>3.4517577774800003E-2</v>
      </c>
      <c r="O39" s="267">
        <v>1.1242604201199999E-2</v>
      </c>
      <c r="P39" s="267">
        <v>3.2228578719699998E-4</v>
      </c>
      <c r="Q39" s="267">
        <v>0</v>
      </c>
      <c r="R39" s="267">
        <v>0</v>
      </c>
      <c r="S39" s="267">
        <v>0</v>
      </c>
      <c r="T39" s="267">
        <v>2.33101720214E-2</v>
      </c>
      <c r="U39" s="267">
        <v>0.77304058362399997</v>
      </c>
      <c r="V39" s="268">
        <v>0.77304058362399997</v>
      </c>
      <c r="W39" s="269" t="s">
        <v>168</v>
      </c>
      <c r="X39" s="268">
        <v>0</v>
      </c>
      <c r="Y39" s="267" t="s">
        <v>168</v>
      </c>
      <c r="Z39" s="267">
        <v>0</v>
      </c>
      <c r="AA39" s="267" t="s">
        <v>168</v>
      </c>
    </row>
    <row r="40" spans="2:27" ht="15" customHeight="1" x14ac:dyDescent="0.25">
      <c r="B40" s="261">
        <v>6631</v>
      </c>
      <c r="C40" s="262" t="s">
        <v>174</v>
      </c>
      <c r="D40" s="270" t="s">
        <v>182</v>
      </c>
      <c r="E40" s="264" t="s">
        <v>200</v>
      </c>
      <c r="F40" s="264" t="s">
        <v>10</v>
      </c>
      <c r="G40" s="264" t="s">
        <v>10</v>
      </c>
      <c r="H40" s="264" t="s">
        <v>167</v>
      </c>
      <c r="I40" s="265">
        <v>806029</v>
      </c>
      <c r="J40" s="266">
        <v>903135</v>
      </c>
      <c r="K40" s="267">
        <v>0.92971985987799999</v>
      </c>
      <c r="L40" s="267">
        <v>0.99932678946099995</v>
      </c>
      <c r="M40" s="267">
        <v>0.95994397293900002</v>
      </c>
      <c r="N40" s="267">
        <v>4.0056027061300001E-2</v>
      </c>
      <c r="O40" s="267">
        <v>7.8615046476999996E-3</v>
      </c>
      <c r="P40" s="267">
        <v>3.04494898326E-4</v>
      </c>
      <c r="Q40" s="267">
        <v>0</v>
      </c>
      <c r="R40" s="267">
        <v>0</v>
      </c>
      <c r="S40" s="267">
        <v>0</v>
      </c>
      <c r="T40" s="267">
        <v>3.2172377330099998E-2</v>
      </c>
      <c r="U40" s="267">
        <v>0.80904657276600001</v>
      </c>
      <c r="V40" s="268">
        <v>0.80904657276600001</v>
      </c>
      <c r="W40" s="269" t="s">
        <v>168</v>
      </c>
      <c r="X40" s="268">
        <v>0</v>
      </c>
      <c r="Y40" s="267" t="s">
        <v>168</v>
      </c>
      <c r="Z40" s="267">
        <v>0</v>
      </c>
      <c r="AA40" s="267" t="s">
        <v>168</v>
      </c>
    </row>
    <row r="41" spans="2:27" ht="15" customHeight="1" x14ac:dyDescent="0.25">
      <c r="B41" s="261">
        <v>8218</v>
      </c>
      <c r="C41" s="262" t="s">
        <v>176</v>
      </c>
      <c r="D41" s="270" t="s">
        <v>192</v>
      </c>
      <c r="E41" s="264" t="s">
        <v>200</v>
      </c>
      <c r="F41" s="264" t="s">
        <v>10</v>
      </c>
      <c r="G41" s="264" t="s">
        <v>10</v>
      </c>
      <c r="H41" s="264" t="s">
        <v>167</v>
      </c>
      <c r="I41" s="265">
        <v>394483</v>
      </c>
      <c r="J41" s="266">
        <v>826845</v>
      </c>
      <c r="K41" s="267">
        <v>0.479608175453</v>
      </c>
      <c r="L41" s="267">
        <v>0.87326040551700002</v>
      </c>
      <c r="M41" s="267">
        <v>0.99475838881500001</v>
      </c>
      <c r="N41" s="267">
        <v>5.2416111846799998E-3</v>
      </c>
      <c r="O41" s="267">
        <v>9.6753321360099993E-6</v>
      </c>
      <c r="P41" s="267">
        <v>1.0642865349599999E-4</v>
      </c>
      <c r="Q41" s="267">
        <v>0</v>
      </c>
      <c r="R41" s="267">
        <v>0</v>
      </c>
      <c r="S41" s="267">
        <v>0</v>
      </c>
      <c r="T41" s="267">
        <v>5.1569520284899997E-3</v>
      </c>
      <c r="U41" s="267">
        <v>0.60159499902400004</v>
      </c>
      <c r="V41" s="268">
        <v>0.60159499902400004</v>
      </c>
      <c r="W41" s="269" t="s">
        <v>168</v>
      </c>
      <c r="X41" s="268">
        <v>0</v>
      </c>
      <c r="Y41" s="267" t="s">
        <v>168</v>
      </c>
      <c r="Z41" s="267">
        <v>0</v>
      </c>
      <c r="AA41" s="267" t="s">
        <v>168</v>
      </c>
    </row>
    <row r="42" spans="2:27" ht="15" customHeight="1" x14ac:dyDescent="0.25">
      <c r="B42" s="261">
        <v>7414</v>
      </c>
      <c r="C42" s="262" t="s">
        <v>165</v>
      </c>
      <c r="D42" s="270" t="s">
        <v>166</v>
      </c>
      <c r="E42" s="264" t="s">
        <v>202</v>
      </c>
      <c r="F42" s="264" t="s">
        <v>10</v>
      </c>
      <c r="G42" s="264" t="s">
        <v>10</v>
      </c>
      <c r="H42" s="264" t="s">
        <v>167</v>
      </c>
      <c r="I42" s="265">
        <v>628559</v>
      </c>
      <c r="J42" s="266">
        <v>685028</v>
      </c>
      <c r="K42" s="267">
        <v>0.94761685800600004</v>
      </c>
      <c r="L42" s="267">
        <v>0.99748331455100003</v>
      </c>
      <c r="M42" s="267">
        <v>0.96828888746200004</v>
      </c>
      <c r="N42" s="267">
        <v>3.1711112538500001E-2</v>
      </c>
      <c r="O42" s="267">
        <v>1.66883689426E-2</v>
      </c>
      <c r="P42" s="267">
        <v>6.9632190217000002E-4</v>
      </c>
      <c r="Q42" s="267">
        <v>0</v>
      </c>
      <c r="R42" s="267">
        <v>0</v>
      </c>
      <c r="S42" s="267">
        <v>0</v>
      </c>
      <c r="T42" s="267">
        <v>1.49731105882E-2</v>
      </c>
      <c r="U42" s="267">
        <v>0.53881338108300003</v>
      </c>
      <c r="V42" s="268">
        <v>0.53881338108300003</v>
      </c>
      <c r="W42" s="269" t="s">
        <v>168</v>
      </c>
      <c r="X42" s="268">
        <v>0</v>
      </c>
      <c r="Y42" s="267" t="s">
        <v>168</v>
      </c>
      <c r="Z42" s="267">
        <v>0</v>
      </c>
      <c r="AA42" s="267" t="s">
        <v>168</v>
      </c>
    </row>
    <row r="43" spans="2:27" ht="15" customHeight="1" x14ac:dyDescent="0.25">
      <c r="B43" s="261">
        <v>9263</v>
      </c>
      <c r="C43" s="262" t="s">
        <v>169</v>
      </c>
      <c r="D43" s="270" t="s">
        <v>191</v>
      </c>
      <c r="E43" s="264" t="s">
        <v>200</v>
      </c>
      <c r="F43" s="264" t="s">
        <v>10</v>
      </c>
      <c r="G43" s="264" t="s">
        <v>10</v>
      </c>
      <c r="H43" s="264" t="s">
        <v>167</v>
      </c>
      <c r="I43" s="265">
        <v>219858</v>
      </c>
      <c r="J43" s="266">
        <v>552801</v>
      </c>
      <c r="K43" s="267">
        <v>0.41091112980099997</v>
      </c>
      <c r="L43" s="267">
        <v>0.89664996988099999</v>
      </c>
      <c r="M43" s="267">
        <v>0.96788898717600003</v>
      </c>
      <c r="N43" s="267">
        <v>3.2111012823800002E-2</v>
      </c>
      <c r="O43" s="267">
        <v>1.1523134003E-3</v>
      </c>
      <c r="P43" s="267">
        <v>3.2923240008600002E-4</v>
      </c>
      <c r="Q43" s="267">
        <v>0</v>
      </c>
      <c r="R43" s="267">
        <v>8.3031687713999995E-4</v>
      </c>
      <c r="S43" s="267">
        <v>0</v>
      </c>
      <c r="T43" s="267">
        <v>2.99836650078E-2</v>
      </c>
      <c r="U43" s="267">
        <v>0.53377179816099996</v>
      </c>
      <c r="V43" s="268">
        <v>0.53377179816099996</v>
      </c>
      <c r="W43" s="269" t="s">
        <v>168</v>
      </c>
      <c r="X43" s="268">
        <v>0</v>
      </c>
      <c r="Y43" s="267" t="s">
        <v>168</v>
      </c>
      <c r="Z43" s="267">
        <v>0</v>
      </c>
      <c r="AA43" s="267" t="s">
        <v>168</v>
      </c>
    </row>
    <row r="44" spans="2:27" ht="15" customHeight="1" x14ac:dyDescent="0.25">
      <c r="B44" s="261">
        <v>8218</v>
      </c>
      <c r="C44" s="262" t="s">
        <v>176</v>
      </c>
      <c r="D44" s="270" t="s">
        <v>189</v>
      </c>
      <c r="E44" s="264" t="s">
        <v>200</v>
      </c>
      <c r="F44" s="264" t="s">
        <v>10</v>
      </c>
      <c r="G44" s="264" t="s">
        <v>10</v>
      </c>
      <c r="H44" s="264" t="s">
        <v>167</v>
      </c>
      <c r="I44" s="265">
        <v>375784</v>
      </c>
      <c r="J44" s="266">
        <v>415854</v>
      </c>
      <c r="K44" s="267">
        <v>0.92932570320700003</v>
      </c>
      <c r="L44" s="267">
        <v>0.99826381374200002</v>
      </c>
      <c r="M44" s="267">
        <v>0.97236530128400001</v>
      </c>
      <c r="N44" s="267">
        <v>2.7634698716400001E-2</v>
      </c>
      <c r="O44" s="267">
        <v>1.06215162052E-2</v>
      </c>
      <c r="P44" s="267">
        <v>5.4826934453000001E-4</v>
      </c>
      <c r="Q44" s="267">
        <v>0</v>
      </c>
      <c r="R44" s="267">
        <v>0</v>
      </c>
      <c r="S44" s="267">
        <v>0</v>
      </c>
      <c r="T44" s="267">
        <v>1.7058871623199998E-2</v>
      </c>
      <c r="U44" s="267">
        <v>0.54964021884900005</v>
      </c>
      <c r="V44" s="268">
        <v>0.54964021884900005</v>
      </c>
      <c r="W44" s="269" t="s">
        <v>168</v>
      </c>
      <c r="X44" s="268">
        <v>0</v>
      </c>
      <c r="Y44" s="267" t="s">
        <v>168</v>
      </c>
      <c r="Z44" s="267">
        <v>0</v>
      </c>
      <c r="AA44" s="267" t="s">
        <v>168</v>
      </c>
    </row>
    <row r="45" spans="2:27" ht="15" customHeight="1" x14ac:dyDescent="0.25">
      <c r="B45" s="261">
        <v>8218</v>
      </c>
      <c r="C45" s="262" t="s">
        <v>176</v>
      </c>
      <c r="D45" s="270" t="s">
        <v>177</v>
      </c>
      <c r="E45" s="264" t="s">
        <v>202</v>
      </c>
      <c r="F45" s="264" t="s">
        <v>10</v>
      </c>
      <c r="G45" s="264" t="s">
        <v>10</v>
      </c>
      <c r="H45" s="264" t="s">
        <v>167</v>
      </c>
      <c r="I45" s="265">
        <v>338563</v>
      </c>
      <c r="J45" s="266">
        <v>377299</v>
      </c>
      <c r="K45" s="267">
        <v>0.94237417401000001</v>
      </c>
      <c r="L45" s="267">
        <v>0.99872514901999998</v>
      </c>
      <c r="M45" s="267">
        <v>0.95220501512099998</v>
      </c>
      <c r="N45" s="267">
        <v>4.7794984879400003E-2</v>
      </c>
      <c r="O45" s="267">
        <v>1.32308858492E-2</v>
      </c>
      <c r="P45" s="267">
        <v>7.5271866609799998E-4</v>
      </c>
      <c r="Q45" s="267">
        <v>0</v>
      </c>
      <c r="R45" s="267">
        <v>1.0874664390799999E-2</v>
      </c>
      <c r="S45" s="267">
        <v>0</v>
      </c>
      <c r="T45" s="267">
        <v>2.3564865001E-2</v>
      </c>
      <c r="U45" s="267">
        <v>0.57879035807199997</v>
      </c>
      <c r="V45" s="268">
        <v>0.57879035807199997</v>
      </c>
      <c r="W45" s="269" t="s">
        <v>168</v>
      </c>
      <c r="X45" s="268">
        <v>0</v>
      </c>
      <c r="Y45" s="267" t="s">
        <v>168</v>
      </c>
      <c r="Z45" s="267">
        <v>0</v>
      </c>
      <c r="AA45" s="267" t="s">
        <v>168</v>
      </c>
    </row>
    <row r="46" spans="2:27" ht="15" customHeight="1" x14ac:dyDescent="0.25">
      <c r="B46" s="261">
        <v>8218</v>
      </c>
      <c r="C46" s="262" t="s">
        <v>176</v>
      </c>
      <c r="D46" s="270" t="s">
        <v>186</v>
      </c>
      <c r="E46" s="264" t="s">
        <v>202</v>
      </c>
      <c r="F46" s="264" t="s">
        <v>10</v>
      </c>
      <c r="G46" s="264" t="s">
        <v>10</v>
      </c>
      <c r="H46" s="264" t="s">
        <v>167</v>
      </c>
      <c r="I46" s="265">
        <v>295315</v>
      </c>
      <c r="J46" s="266">
        <v>333724</v>
      </c>
      <c r="K46" s="267">
        <v>0.93050697923600001</v>
      </c>
      <c r="L46" s="267">
        <v>0.99918795172099995</v>
      </c>
      <c r="M46" s="267">
        <v>0.95099543335199999</v>
      </c>
      <c r="N46" s="267">
        <v>4.9004566647899997E-2</v>
      </c>
      <c r="O46" s="267">
        <v>2.06817609761E-2</v>
      </c>
      <c r="P46" s="267">
        <v>1.13267250782E-3</v>
      </c>
      <c r="Q46" s="267">
        <v>0</v>
      </c>
      <c r="R46" s="267">
        <v>1.0008270307199999E-2</v>
      </c>
      <c r="S46" s="267">
        <v>0</v>
      </c>
      <c r="T46" s="267">
        <v>1.8143735541900002E-2</v>
      </c>
      <c r="U46" s="267">
        <v>0.57158965849999999</v>
      </c>
      <c r="V46" s="268">
        <v>0.57158965849999999</v>
      </c>
      <c r="W46" s="269" t="s">
        <v>168</v>
      </c>
      <c r="X46" s="268">
        <v>0</v>
      </c>
      <c r="Y46" s="267" t="s">
        <v>168</v>
      </c>
      <c r="Z46" s="267">
        <v>0</v>
      </c>
      <c r="AA46" s="267" t="s">
        <v>168</v>
      </c>
    </row>
    <row r="47" spans="2:27" ht="15" customHeight="1" x14ac:dyDescent="0.25">
      <c r="B47" s="261">
        <v>8218</v>
      </c>
      <c r="C47" s="262" t="s">
        <v>176</v>
      </c>
      <c r="D47" s="270" t="s">
        <v>194</v>
      </c>
      <c r="E47" s="264" t="s">
        <v>200</v>
      </c>
      <c r="F47" s="264" t="s">
        <v>10</v>
      </c>
      <c r="G47" s="264" t="s">
        <v>10</v>
      </c>
      <c r="H47" s="264" t="s">
        <v>167</v>
      </c>
      <c r="I47" s="265">
        <v>274191</v>
      </c>
      <c r="J47" s="266">
        <v>304705</v>
      </c>
      <c r="K47" s="267">
        <v>0.93278743179099999</v>
      </c>
      <c r="L47" s="267">
        <v>0.99587141661599998</v>
      </c>
      <c r="M47" s="267">
        <v>0.96469700201800002</v>
      </c>
      <c r="N47" s="267">
        <v>3.5302997981700002E-2</v>
      </c>
      <c r="O47" s="267">
        <v>1.62156840223E-2</v>
      </c>
      <c r="P47" s="267">
        <v>6.9575491048699996E-4</v>
      </c>
      <c r="Q47" s="267">
        <v>0</v>
      </c>
      <c r="R47" s="267">
        <v>0</v>
      </c>
      <c r="S47" s="267">
        <v>0</v>
      </c>
      <c r="T47" s="267">
        <v>1.89757306247E-2</v>
      </c>
      <c r="U47" s="267">
        <v>0.57305673782099997</v>
      </c>
      <c r="V47" s="268">
        <v>0.57305673782099997</v>
      </c>
      <c r="W47" s="269" t="s">
        <v>168</v>
      </c>
      <c r="X47" s="268">
        <v>0</v>
      </c>
      <c r="Y47" s="267" t="s">
        <v>168</v>
      </c>
      <c r="Z47" s="267">
        <v>0</v>
      </c>
      <c r="AA47" s="267" t="s">
        <v>168</v>
      </c>
    </row>
    <row r="48" spans="2:27" ht="15" customHeight="1" x14ac:dyDescent="0.25">
      <c r="B48" s="261">
        <v>9350</v>
      </c>
      <c r="C48" s="262" t="s">
        <v>179</v>
      </c>
      <c r="D48" s="270" t="s">
        <v>180</v>
      </c>
      <c r="E48" s="264" t="s">
        <v>201</v>
      </c>
      <c r="F48" s="264" t="s">
        <v>10</v>
      </c>
      <c r="G48" s="264" t="s">
        <v>10</v>
      </c>
      <c r="H48" s="264" t="s">
        <v>167</v>
      </c>
      <c r="I48" s="265">
        <v>265836</v>
      </c>
      <c r="J48" s="266">
        <v>304186</v>
      </c>
      <c r="K48" s="267">
        <v>0.92772215378300005</v>
      </c>
      <c r="L48" s="267">
        <v>0.99700183440400003</v>
      </c>
      <c r="M48" s="267">
        <v>0.94201245290699998</v>
      </c>
      <c r="N48" s="267">
        <v>5.7987547092900001E-2</v>
      </c>
      <c r="O48" s="267">
        <v>4.7760251951100001E-2</v>
      </c>
      <c r="P48" s="267">
        <v>6.5091753072100001E-4</v>
      </c>
      <c r="Q48" s="267">
        <v>0</v>
      </c>
      <c r="R48" s="267">
        <v>0</v>
      </c>
      <c r="S48" s="267">
        <v>0</v>
      </c>
      <c r="T48" s="267">
        <v>1.0444267651999999E-2</v>
      </c>
      <c r="U48" s="267">
        <v>0.59661972042900002</v>
      </c>
      <c r="V48" s="268">
        <v>0.59661972042900002</v>
      </c>
      <c r="W48" s="269" t="s">
        <v>168</v>
      </c>
      <c r="X48" s="268">
        <v>0</v>
      </c>
      <c r="Y48" s="267" t="s">
        <v>168</v>
      </c>
      <c r="Z48" s="267">
        <v>0</v>
      </c>
      <c r="AA48" s="267" t="s">
        <v>168</v>
      </c>
    </row>
    <row r="49" spans="2:27" ht="15" customHeight="1" x14ac:dyDescent="0.25">
      <c r="B49" s="261">
        <v>7414</v>
      </c>
      <c r="C49" s="262" t="s">
        <v>165</v>
      </c>
      <c r="D49" s="270" t="s">
        <v>185</v>
      </c>
      <c r="E49" s="264" t="s">
        <v>202</v>
      </c>
      <c r="F49" s="264" t="s">
        <v>10</v>
      </c>
      <c r="G49" s="264" t="s">
        <v>10</v>
      </c>
      <c r="H49" s="264" t="s">
        <v>167</v>
      </c>
      <c r="I49" s="265">
        <v>270529</v>
      </c>
      <c r="J49" s="266">
        <v>292841</v>
      </c>
      <c r="K49" s="267">
        <v>0.96468662634799995</v>
      </c>
      <c r="L49" s="267">
        <v>0.99893116059599996</v>
      </c>
      <c r="M49" s="267">
        <v>0.95762546911099999</v>
      </c>
      <c r="N49" s="267">
        <v>4.2374530888799999E-2</v>
      </c>
      <c r="O49" s="267">
        <v>2.4569647009800001E-2</v>
      </c>
      <c r="P49" s="267">
        <v>9.1517239730799999E-4</v>
      </c>
      <c r="Q49" s="267">
        <v>0</v>
      </c>
      <c r="R49" s="267">
        <v>0</v>
      </c>
      <c r="S49" s="267">
        <v>0</v>
      </c>
      <c r="T49" s="267">
        <v>1.80166028664E-2</v>
      </c>
      <c r="U49" s="267">
        <v>0.66658288020900003</v>
      </c>
      <c r="V49" s="268">
        <v>0.66658288020900003</v>
      </c>
      <c r="W49" s="269" t="s">
        <v>168</v>
      </c>
      <c r="X49" s="268">
        <v>0</v>
      </c>
      <c r="Y49" s="267" t="s">
        <v>168</v>
      </c>
      <c r="Z49" s="267">
        <v>0</v>
      </c>
      <c r="AA49" s="267" t="s">
        <v>168</v>
      </c>
    </row>
    <row r="50" spans="2:27" ht="15" customHeight="1" x14ac:dyDescent="0.25">
      <c r="B50" s="261">
        <v>9350</v>
      </c>
      <c r="C50" s="262" t="s">
        <v>179</v>
      </c>
      <c r="D50" s="270" t="s">
        <v>180</v>
      </c>
      <c r="E50" s="264" t="s">
        <v>202</v>
      </c>
      <c r="F50" s="264" t="s">
        <v>10</v>
      </c>
      <c r="G50" s="264" t="s">
        <v>10</v>
      </c>
      <c r="H50" s="264" t="s">
        <v>167</v>
      </c>
      <c r="I50" s="265">
        <v>237542</v>
      </c>
      <c r="J50" s="266">
        <v>275909</v>
      </c>
      <c r="K50" s="267">
        <v>0.94219701326799998</v>
      </c>
      <c r="L50" s="267">
        <v>0.99939110358899996</v>
      </c>
      <c r="M50" s="267">
        <v>0.91376142133799998</v>
      </c>
      <c r="N50" s="267">
        <v>8.62385786618E-2</v>
      </c>
      <c r="O50" s="267">
        <v>5.6373659431199999E-2</v>
      </c>
      <c r="P50" s="267">
        <v>1.15980268857E-4</v>
      </c>
      <c r="Q50" s="267">
        <v>0</v>
      </c>
      <c r="R50" s="267">
        <v>0</v>
      </c>
      <c r="S50" s="267">
        <v>0</v>
      </c>
      <c r="T50" s="267">
        <v>3.0705776179799998E-2</v>
      </c>
      <c r="U50" s="267">
        <v>0.60143890343600004</v>
      </c>
      <c r="V50" s="268">
        <v>0.60143890343600004</v>
      </c>
      <c r="W50" s="269" t="s">
        <v>168</v>
      </c>
      <c r="X50" s="268">
        <v>0</v>
      </c>
      <c r="Y50" s="267" t="s">
        <v>168</v>
      </c>
      <c r="Z50" s="267">
        <v>0</v>
      </c>
      <c r="AA50" s="267" t="s">
        <v>168</v>
      </c>
    </row>
    <row r="51" spans="2:27" ht="15" customHeight="1" x14ac:dyDescent="0.25">
      <c r="B51" s="261">
        <v>8218</v>
      </c>
      <c r="C51" s="262" t="s">
        <v>176</v>
      </c>
      <c r="D51" s="270" t="s">
        <v>193</v>
      </c>
      <c r="E51" s="264" t="s">
        <v>200</v>
      </c>
      <c r="F51" s="264" t="s">
        <v>10</v>
      </c>
      <c r="G51" s="264" t="s">
        <v>10</v>
      </c>
      <c r="H51" s="264" t="s">
        <v>167</v>
      </c>
      <c r="I51" s="265">
        <v>243416</v>
      </c>
      <c r="J51" s="266">
        <v>267446</v>
      </c>
      <c r="K51" s="267">
        <v>0.95099605796200004</v>
      </c>
      <c r="L51" s="267">
        <v>0.99842958952500005</v>
      </c>
      <c r="M51" s="267">
        <v>0.95704927349799995</v>
      </c>
      <c r="N51" s="267">
        <v>4.2950726501799999E-2</v>
      </c>
      <c r="O51" s="267">
        <v>1.9394569370999998E-2</v>
      </c>
      <c r="P51" s="267">
        <v>4.8234036029700002E-4</v>
      </c>
      <c r="Q51" s="267">
        <v>0</v>
      </c>
      <c r="R51" s="267">
        <v>6.7864166972E-3</v>
      </c>
      <c r="S51" s="267">
        <v>0</v>
      </c>
      <c r="T51" s="267">
        <v>1.67099152726E-2</v>
      </c>
      <c r="U51" s="267">
        <v>0.56320455516500001</v>
      </c>
      <c r="V51" s="268">
        <v>0.56320455516500001</v>
      </c>
      <c r="W51" s="269" t="s">
        <v>168</v>
      </c>
      <c r="X51" s="268">
        <v>0</v>
      </c>
      <c r="Y51" s="267" t="s">
        <v>168</v>
      </c>
      <c r="Z51" s="267">
        <v>0</v>
      </c>
      <c r="AA51" s="267" t="s">
        <v>168</v>
      </c>
    </row>
    <row r="52" spans="2:27" ht="15" customHeight="1" x14ac:dyDescent="0.25">
      <c r="B52" s="261">
        <v>8218</v>
      </c>
      <c r="C52" s="262" t="s">
        <v>176</v>
      </c>
      <c r="D52" s="270" t="s">
        <v>189</v>
      </c>
      <c r="E52" s="264" t="s">
        <v>202</v>
      </c>
      <c r="F52" s="264" t="s">
        <v>10</v>
      </c>
      <c r="G52" s="264" t="s">
        <v>10</v>
      </c>
      <c r="H52" s="264" t="s">
        <v>167</v>
      </c>
      <c r="I52" s="265">
        <v>222912</v>
      </c>
      <c r="J52" s="266">
        <v>246679</v>
      </c>
      <c r="K52" s="267">
        <v>0.93149746139900003</v>
      </c>
      <c r="L52" s="267">
        <v>0.98979240227200005</v>
      </c>
      <c r="M52" s="267">
        <v>0.97010690006</v>
      </c>
      <c r="N52" s="267">
        <v>2.9893099939600001E-2</v>
      </c>
      <c r="O52" s="267">
        <v>1.15859071911E-2</v>
      </c>
      <c r="P52" s="267">
        <v>5.3916223107799998E-4</v>
      </c>
      <c r="Q52" s="267">
        <v>0</v>
      </c>
      <c r="R52" s="267">
        <v>0</v>
      </c>
      <c r="S52" s="267">
        <v>0</v>
      </c>
      <c r="T52" s="267">
        <v>1.8566639235600001E-2</v>
      </c>
      <c r="U52" s="267">
        <v>0.53187805053100001</v>
      </c>
      <c r="V52" s="268">
        <v>0.53187805053100001</v>
      </c>
      <c r="W52" s="269" t="s">
        <v>168</v>
      </c>
      <c r="X52" s="268">
        <v>0</v>
      </c>
      <c r="Y52" s="267" t="s">
        <v>168</v>
      </c>
      <c r="Z52" s="267">
        <v>0</v>
      </c>
      <c r="AA52" s="267" t="s">
        <v>168</v>
      </c>
    </row>
    <row r="53" spans="2:27" ht="15" customHeight="1" x14ac:dyDescent="0.25">
      <c r="B53" s="261">
        <v>7414</v>
      </c>
      <c r="C53" s="262" t="s">
        <v>165</v>
      </c>
      <c r="D53" s="270" t="s">
        <v>173</v>
      </c>
      <c r="E53" s="264" t="s">
        <v>202</v>
      </c>
      <c r="F53" s="264" t="s">
        <v>10</v>
      </c>
      <c r="G53" s="264" t="s">
        <v>10</v>
      </c>
      <c r="H53" s="264" t="s">
        <v>167</v>
      </c>
      <c r="I53" s="265">
        <v>199739</v>
      </c>
      <c r="J53" s="266">
        <v>228232</v>
      </c>
      <c r="K53" s="267">
        <v>0.91051192049999996</v>
      </c>
      <c r="L53" s="267">
        <v>0.98997511304300001</v>
      </c>
      <c r="M53" s="267">
        <v>0.961171089067</v>
      </c>
      <c r="N53" s="267">
        <v>3.8828910932700002E-2</v>
      </c>
      <c r="O53" s="267">
        <v>9.5429212380400003E-3</v>
      </c>
      <c r="P53" s="267">
        <v>9.8583897087199993E-4</v>
      </c>
      <c r="Q53" s="267">
        <v>0</v>
      </c>
      <c r="R53" s="267">
        <v>0</v>
      </c>
      <c r="S53" s="267">
        <v>0</v>
      </c>
      <c r="T53" s="267">
        <v>2.9448105436600001E-2</v>
      </c>
      <c r="U53" s="267">
        <v>0.48525325549800002</v>
      </c>
      <c r="V53" s="268">
        <v>0.48525325549800002</v>
      </c>
      <c r="W53" s="269" t="s">
        <v>168</v>
      </c>
      <c r="X53" s="268">
        <v>0</v>
      </c>
      <c r="Y53" s="267" t="s">
        <v>168</v>
      </c>
      <c r="Z53" s="267">
        <v>0</v>
      </c>
      <c r="AA53" s="267" t="s">
        <v>168</v>
      </c>
    </row>
    <row r="54" spans="2:27" ht="15" customHeight="1" x14ac:dyDescent="0.25">
      <c r="B54" s="261">
        <v>8218</v>
      </c>
      <c r="C54" s="262" t="s">
        <v>176</v>
      </c>
      <c r="D54" s="270" t="s">
        <v>195</v>
      </c>
      <c r="E54" s="264" t="s">
        <v>202</v>
      </c>
      <c r="F54" s="264" t="s">
        <v>10</v>
      </c>
      <c r="G54" s="264" t="s">
        <v>10</v>
      </c>
      <c r="H54" s="264" t="s">
        <v>167</v>
      </c>
      <c r="I54" s="265">
        <v>167453</v>
      </c>
      <c r="J54" s="266">
        <v>185168</v>
      </c>
      <c r="K54" s="267">
        <v>0.93782833204500005</v>
      </c>
      <c r="L54" s="267">
        <v>0.99942214637500004</v>
      </c>
      <c r="M54" s="267">
        <v>0.96428108528500001</v>
      </c>
      <c r="N54" s="267">
        <v>3.5718914715299997E-2</v>
      </c>
      <c r="O54" s="267">
        <v>1.34580489069E-2</v>
      </c>
      <c r="P54" s="267">
        <v>4.3204009332099998E-4</v>
      </c>
      <c r="Q54" s="267">
        <v>0</v>
      </c>
      <c r="R54" s="267">
        <v>3.9315648492200001E-3</v>
      </c>
      <c r="S54" s="267">
        <v>0</v>
      </c>
      <c r="T54" s="267">
        <v>1.8140283418299999E-2</v>
      </c>
      <c r="U54" s="267">
        <v>0.66700507007900001</v>
      </c>
      <c r="V54" s="268">
        <v>0.66700507007900001</v>
      </c>
      <c r="W54" s="269" t="s">
        <v>168</v>
      </c>
      <c r="X54" s="268">
        <v>0</v>
      </c>
      <c r="Y54" s="267" t="s">
        <v>168</v>
      </c>
      <c r="Z54" s="267">
        <v>0</v>
      </c>
      <c r="AA54" s="267" t="s">
        <v>168</v>
      </c>
    </row>
    <row r="55" spans="2:27" ht="15" customHeight="1" x14ac:dyDescent="0.25">
      <c r="B55" s="261">
        <v>8218</v>
      </c>
      <c r="C55" s="262" t="s">
        <v>176</v>
      </c>
      <c r="D55" s="270" t="s">
        <v>177</v>
      </c>
      <c r="E55" s="264" t="s">
        <v>204</v>
      </c>
      <c r="F55" s="264" t="s">
        <v>10</v>
      </c>
      <c r="G55" s="264" t="s">
        <v>10</v>
      </c>
      <c r="H55" s="264" t="s">
        <v>205</v>
      </c>
      <c r="I55" s="265">
        <v>159279</v>
      </c>
      <c r="J55" s="266">
        <v>177696</v>
      </c>
      <c r="K55" s="267">
        <v>0.91034778384199999</v>
      </c>
      <c r="L55" s="267">
        <v>0.974788402665</v>
      </c>
      <c r="M55" s="267">
        <v>0.98226746803499998</v>
      </c>
      <c r="N55" s="267">
        <v>1.77325319647E-2</v>
      </c>
      <c r="O55" s="267">
        <v>2.2510354763200001E-5</v>
      </c>
      <c r="P55" s="267">
        <v>2.3917251935899999E-3</v>
      </c>
      <c r="Q55" s="267">
        <v>0</v>
      </c>
      <c r="R55" s="267">
        <v>0</v>
      </c>
      <c r="S55" s="267">
        <v>0</v>
      </c>
      <c r="T55" s="267">
        <v>1.5357689537200001E-2</v>
      </c>
      <c r="U55" s="267">
        <v>0.32532223331400001</v>
      </c>
      <c r="V55" s="268">
        <v>0.32532223331400001</v>
      </c>
      <c r="W55" s="269" t="s">
        <v>168</v>
      </c>
      <c r="X55" s="268">
        <v>0</v>
      </c>
      <c r="Y55" s="267" t="s">
        <v>168</v>
      </c>
      <c r="Z55" s="267">
        <v>0</v>
      </c>
      <c r="AA55" s="267" t="s">
        <v>168</v>
      </c>
    </row>
    <row r="56" spans="2:27" ht="15" customHeight="1" x14ac:dyDescent="0.25">
      <c r="B56" s="261">
        <v>9263</v>
      </c>
      <c r="C56" s="262" t="s">
        <v>169</v>
      </c>
      <c r="D56" s="270" t="s">
        <v>191</v>
      </c>
      <c r="E56" s="264" t="s">
        <v>202</v>
      </c>
      <c r="F56" s="264" t="s">
        <v>10</v>
      </c>
      <c r="G56" s="264" t="s">
        <v>10</v>
      </c>
      <c r="H56" s="264" t="s">
        <v>167</v>
      </c>
      <c r="I56" s="265">
        <v>97610</v>
      </c>
      <c r="J56" s="266">
        <v>106078</v>
      </c>
      <c r="K56" s="267">
        <v>0.95550878566899999</v>
      </c>
      <c r="L56" s="267">
        <v>0.99839740568299995</v>
      </c>
      <c r="M56" s="267">
        <v>0.96301777936999999</v>
      </c>
      <c r="N56" s="267">
        <v>3.6982220630100003E-2</v>
      </c>
      <c r="O56" s="267">
        <v>1.18497709233E-2</v>
      </c>
      <c r="P56" s="267">
        <v>3.2051886347799998E-4</v>
      </c>
      <c r="Q56" s="267">
        <v>0</v>
      </c>
      <c r="R56" s="267">
        <v>2.6961292633700001E-3</v>
      </c>
      <c r="S56" s="267">
        <v>0</v>
      </c>
      <c r="T56" s="267">
        <v>2.2464601519599999E-2</v>
      </c>
      <c r="U56" s="267">
        <v>0.56102858313699999</v>
      </c>
      <c r="V56" s="268">
        <v>0.56102858313699999</v>
      </c>
      <c r="W56" s="269" t="s">
        <v>168</v>
      </c>
      <c r="X56" s="268">
        <v>0</v>
      </c>
      <c r="Y56" s="267" t="s">
        <v>168</v>
      </c>
      <c r="Z56" s="267">
        <v>0</v>
      </c>
      <c r="AA56" s="267" t="s">
        <v>168</v>
      </c>
    </row>
    <row r="57" spans="2:27" ht="15" customHeight="1" x14ac:dyDescent="0.25">
      <c r="B57" s="261">
        <v>9263</v>
      </c>
      <c r="C57" s="262" t="s">
        <v>169</v>
      </c>
      <c r="D57" s="270" t="s">
        <v>196</v>
      </c>
      <c r="E57" s="264" t="s">
        <v>206</v>
      </c>
      <c r="F57" s="264" t="s">
        <v>10</v>
      </c>
      <c r="G57" s="264" t="s">
        <v>10</v>
      </c>
      <c r="H57" s="264" t="s">
        <v>167</v>
      </c>
      <c r="I57" s="265">
        <v>90729</v>
      </c>
      <c r="J57" s="266">
        <v>98086</v>
      </c>
      <c r="K57" s="267">
        <v>0.94140657425100005</v>
      </c>
      <c r="L57" s="267">
        <v>0.90904920172100001</v>
      </c>
      <c r="M57" s="267">
        <v>0.98256631935200001</v>
      </c>
      <c r="N57" s="267">
        <v>1.7433680647600001E-2</v>
      </c>
      <c r="O57" s="267">
        <v>0</v>
      </c>
      <c r="P57" s="267">
        <v>2.0390269763299999E-5</v>
      </c>
      <c r="Q57" s="267">
        <v>0</v>
      </c>
      <c r="R57" s="267">
        <v>0</v>
      </c>
      <c r="S57" s="267">
        <v>0</v>
      </c>
      <c r="T57" s="267">
        <v>1.7413290377800001E-2</v>
      </c>
      <c r="U57" s="267">
        <v>0.37419127291199999</v>
      </c>
      <c r="V57" s="268">
        <v>0.37419127291199999</v>
      </c>
      <c r="W57" s="269" t="s">
        <v>168</v>
      </c>
      <c r="X57" s="268">
        <v>0</v>
      </c>
      <c r="Y57" s="267" t="s">
        <v>168</v>
      </c>
      <c r="Z57" s="267">
        <v>0</v>
      </c>
      <c r="AA57" s="267" t="s">
        <v>168</v>
      </c>
    </row>
    <row r="58" spans="2:27" ht="15" customHeight="1" x14ac:dyDescent="0.25">
      <c r="B58" s="261">
        <v>8218</v>
      </c>
      <c r="C58" s="262" t="s">
        <v>176</v>
      </c>
      <c r="D58" s="270" t="s">
        <v>193</v>
      </c>
      <c r="E58" s="264" t="s">
        <v>202</v>
      </c>
      <c r="F58" s="264" t="s">
        <v>10</v>
      </c>
      <c r="G58" s="264" t="s">
        <v>10</v>
      </c>
      <c r="H58" s="264" t="s">
        <v>167</v>
      </c>
      <c r="I58" s="265">
        <v>88419</v>
      </c>
      <c r="J58" s="266">
        <v>96862</v>
      </c>
      <c r="K58" s="267">
        <v>0.95049664602700001</v>
      </c>
      <c r="L58" s="267">
        <v>0.99875080010700001</v>
      </c>
      <c r="M58" s="267">
        <v>0.96037661828200005</v>
      </c>
      <c r="N58" s="267">
        <v>3.9623381718300002E-2</v>
      </c>
      <c r="O58" s="267">
        <v>1.4123185563000001E-2</v>
      </c>
      <c r="P58" s="267">
        <v>9.2915694493200004E-4</v>
      </c>
      <c r="Q58" s="267">
        <v>0</v>
      </c>
      <c r="R58" s="267">
        <v>5.6575333980299998E-3</v>
      </c>
      <c r="S58" s="267">
        <v>0</v>
      </c>
      <c r="T58" s="267">
        <v>1.9388408250900002E-2</v>
      </c>
      <c r="U58" s="267">
        <v>0.661769529174</v>
      </c>
      <c r="V58" s="268">
        <v>0.661769529174</v>
      </c>
      <c r="W58" s="269" t="s">
        <v>168</v>
      </c>
      <c r="X58" s="268">
        <v>0</v>
      </c>
      <c r="Y58" s="267" t="s">
        <v>168</v>
      </c>
      <c r="Z58" s="267">
        <v>0</v>
      </c>
      <c r="AA58" s="267" t="s">
        <v>168</v>
      </c>
    </row>
    <row r="59" spans="2:27" ht="15" customHeight="1" x14ac:dyDescent="0.25">
      <c r="B59" s="261">
        <v>8218</v>
      </c>
      <c r="C59" s="262" t="s">
        <v>176</v>
      </c>
      <c r="D59" s="270" t="s">
        <v>197</v>
      </c>
      <c r="E59" s="264" t="s">
        <v>202</v>
      </c>
      <c r="F59" s="264" t="s">
        <v>10</v>
      </c>
      <c r="G59" s="264" t="s">
        <v>10</v>
      </c>
      <c r="H59" s="264" t="s">
        <v>167</v>
      </c>
      <c r="I59" s="265">
        <v>80069</v>
      </c>
      <c r="J59" s="266">
        <v>88232</v>
      </c>
      <c r="K59" s="267">
        <v>0.93857623462899997</v>
      </c>
      <c r="L59" s="267">
        <v>0.99806192764500001</v>
      </c>
      <c r="M59" s="267">
        <v>0.96687142986700003</v>
      </c>
      <c r="N59" s="267">
        <v>3.3128570133299999E-2</v>
      </c>
      <c r="O59" s="267">
        <v>1.38725179073E-2</v>
      </c>
      <c r="P59" s="267">
        <v>8.2736422159799996E-4</v>
      </c>
      <c r="Q59" s="267">
        <v>0</v>
      </c>
      <c r="R59" s="267">
        <v>4.9981865989700003E-3</v>
      </c>
      <c r="S59" s="267">
        <v>0</v>
      </c>
      <c r="T59" s="267">
        <v>1.43032006528E-2</v>
      </c>
      <c r="U59" s="267">
        <v>0.63861169741099999</v>
      </c>
      <c r="V59" s="268">
        <v>0.63861169741099999</v>
      </c>
      <c r="W59" s="269" t="s">
        <v>168</v>
      </c>
      <c r="X59" s="268">
        <v>0</v>
      </c>
      <c r="Y59" s="267" t="s">
        <v>168</v>
      </c>
      <c r="Z59" s="267">
        <v>0</v>
      </c>
      <c r="AA59" s="267" t="s">
        <v>168</v>
      </c>
    </row>
    <row r="60" spans="2:27" ht="15" customHeight="1" x14ac:dyDescent="0.25">
      <c r="B60" s="261">
        <v>8218</v>
      </c>
      <c r="C60" s="262" t="s">
        <v>176</v>
      </c>
      <c r="D60" s="270" t="s">
        <v>177</v>
      </c>
      <c r="E60" s="264" t="s">
        <v>207</v>
      </c>
      <c r="F60" s="264" t="s">
        <v>10</v>
      </c>
      <c r="G60" s="264" t="s">
        <v>10</v>
      </c>
      <c r="H60" s="264" t="s">
        <v>167</v>
      </c>
      <c r="I60" s="265">
        <v>65055</v>
      </c>
      <c r="J60" s="266">
        <v>79710</v>
      </c>
      <c r="K60" s="267">
        <v>0.85660675488799998</v>
      </c>
      <c r="L60" s="267">
        <v>0.98281269602300003</v>
      </c>
      <c r="M60" s="267">
        <v>0.95276627775699996</v>
      </c>
      <c r="N60" s="267">
        <v>4.7233722243099997E-2</v>
      </c>
      <c r="O60" s="267">
        <v>6.9125580228300001E-3</v>
      </c>
      <c r="P60" s="267">
        <v>1.9194580353799999E-3</v>
      </c>
      <c r="Q60" s="267">
        <v>0</v>
      </c>
      <c r="R60" s="267">
        <v>0</v>
      </c>
      <c r="S60" s="267">
        <v>0</v>
      </c>
      <c r="T60" s="267">
        <v>3.8715343118799997E-2</v>
      </c>
      <c r="U60" s="267">
        <v>0.26934132656999998</v>
      </c>
      <c r="V60" s="268">
        <v>0.26934132656999998</v>
      </c>
      <c r="W60" s="269" t="s">
        <v>168</v>
      </c>
      <c r="X60" s="268">
        <v>0</v>
      </c>
      <c r="Y60" s="267" t="s">
        <v>168</v>
      </c>
      <c r="Z60" s="267">
        <v>0</v>
      </c>
      <c r="AA60" s="267" t="s">
        <v>168</v>
      </c>
    </row>
    <row r="61" spans="2:27" ht="15" customHeight="1" x14ac:dyDescent="0.25">
      <c r="B61" s="261">
        <v>9263</v>
      </c>
      <c r="C61" s="262" t="s">
        <v>169</v>
      </c>
      <c r="D61" s="270" t="s">
        <v>191</v>
      </c>
      <c r="E61" s="264" t="s">
        <v>201</v>
      </c>
      <c r="F61" s="264" t="s">
        <v>10</v>
      </c>
      <c r="G61" s="264" t="s">
        <v>10</v>
      </c>
      <c r="H61" s="264" t="s">
        <v>167</v>
      </c>
      <c r="I61" s="265">
        <v>51044</v>
      </c>
      <c r="J61" s="266">
        <v>64174</v>
      </c>
      <c r="K61" s="267">
        <v>0.82299829092900001</v>
      </c>
      <c r="L61" s="267">
        <v>0.94489980365899995</v>
      </c>
      <c r="M61" s="267">
        <v>0.96646617010000002</v>
      </c>
      <c r="N61" s="267">
        <v>3.3533829899999999E-2</v>
      </c>
      <c r="O61" s="267">
        <v>1.2995917349700001E-2</v>
      </c>
      <c r="P61" s="267">
        <v>3.7398323308500002E-4</v>
      </c>
      <c r="Q61" s="267">
        <v>0</v>
      </c>
      <c r="R61" s="267">
        <v>1.5270982017599999E-3</v>
      </c>
      <c r="S61" s="267">
        <v>0</v>
      </c>
      <c r="T61" s="267">
        <v>1.90575622526E-2</v>
      </c>
      <c r="U61" s="267">
        <v>0.50816942245899999</v>
      </c>
      <c r="V61" s="268">
        <v>0.50816942245899999</v>
      </c>
      <c r="W61" s="269" t="s">
        <v>168</v>
      </c>
      <c r="X61" s="268">
        <v>0</v>
      </c>
      <c r="Y61" s="267" t="s">
        <v>168</v>
      </c>
      <c r="Z61" s="267">
        <v>0</v>
      </c>
      <c r="AA61" s="267" t="s">
        <v>168</v>
      </c>
    </row>
    <row r="62" spans="2:27" ht="15" customHeight="1" x14ac:dyDescent="0.25">
      <c r="B62" s="261">
        <v>8218</v>
      </c>
      <c r="C62" s="262" t="s">
        <v>176</v>
      </c>
      <c r="D62" s="270" t="s">
        <v>199</v>
      </c>
      <c r="E62" s="264" t="s">
        <v>202</v>
      </c>
      <c r="F62" s="264" t="s">
        <v>10</v>
      </c>
      <c r="G62" s="264" t="s">
        <v>10</v>
      </c>
      <c r="H62" s="264" t="s">
        <v>167</v>
      </c>
      <c r="I62" s="265">
        <v>50339</v>
      </c>
      <c r="J62" s="266">
        <v>60829</v>
      </c>
      <c r="K62" s="267">
        <v>0.91361004736899998</v>
      </c>
      <c r="L62" s="267">
        <v>0.99942461654799997</v>
      </c>
      <c r="M62" s="267">
        <v>0.90580150914900004</v>
      </c>
      <c r="N62" s="267">
        <v>9.4198490851400002E-2</v>
      </c>
      <c r="O62" s="267">
        <v>5.1077611007900002E-2</v>
      </c>
      <c r="P62" s="267">
        <v>3.7810912558199999E-4</v>
      </c>
      <c r="Q62" s="267">
        <v>0</v>
      </c>
      <c r="R62" s="267">
        <v>0</v>
      </c>
      <c r="S62" s="267">
        <v>0</v>
      </c>
      <c r="T62" s="267">
        <v>4.49456673626E-2</v>
      </c>
      <c r="U62" s="267">
        <v>0.54893819901100005</v>
      </c>
      <c r="V62" s="268">
        <v>0.54893819901100005</v>
      </c>
      <c r="W62" s="269" t="s">
        <v>168</v>
      </c>
      <c r="X62" s="268">
        <v>0</v>
      </c>
      <c r="Y62" s="267" t="s">
        <v>168</v>
      </c>
      <c r="Z62" s="267">
        <v>0</v>
      </c>
      <c r="AA62" s="267" t="s">
        <v>168</v>
      </c>
    </row>
    <row r="63" spans="2:27" ht="15" customHeight="1" x14ac:dyDescent="0.25">
      <c r="B63" s="261">
        <v>9263</v>
      </c>
      <c r="C63" s="262" t="s">
        <v>169</v>
      </c>
      <c r="D63" s="270" t="s">
        <v>183</v>
      </c>
      <c r="E63" s="264" t="s">
        <v>202</v>
      </c>
      <c r="F63" s="264" t="s">
        <v>10</v>
      </c>
      <c r="G63" s="264" t="s">
        <v>10</v>
      </c>
      <c r="H63" s="264" t="s">
        <v>167</v>
      </c>
      <c r="I63" s="265">
        <v>55563</v>
      </c>
      <c r="J63" s="266">
        <v>60452</v>
      </c>
      <c r="K63" s="267">
        <v>0.95536374421799997</v>
      </c>
      <c r="L63" s="267">
        <v>0.99712168331899997</v>
      </c>
      <c r="M63" s="267">
        <v>0.96206907959999999</v>
      </c>
      <c r="N63" s="267">
        <v>3.7930920399700002E-2</v>
      </c>
      <c r="O63" s="267">
        <v>1.3365976311800001E-2</v>
      </c>
      <c r="P63" s="267">
        <v>1.65420498908E-3</v>
      </c>
      <c r="Q63" s="267">
        <v>0</v>
      </c>
      <c r="R63" s="267">
        <v>0</v>
      </c>
      <c r="S63" s="267">
        <v>0</v>
      </c>
      <c r="T63" s="267">
        <v>2.4564944087900002E-2</v>
      </c>
      <c r="U63" s="267">
        <v>0.61677735183500004</v>
      </c>
      <c r="V63" s="268">
        <v>0.61677735183500004</v>
      </c>
      <c r="W63" s="269" t="s">
        <v>168</v>
      </c>
      <c r="X63" s="268">
        <v>0</v>
      </c>
      <c r="Y63" s="267" t="s">
        <v>168</v>
      </c>
      <c r="Z63" s="267">
        <v>0</v>
      </c>
      <c r="AA63" s="267" t="s">
        <v>168</v>
      </c>
    </row>
    <row r="64" spans="2:27" ht="15" customHeight="1" x14ac:dyDescent="0.25">
      <c r="B64" s="261">
        <v>8218</v>
      </c>
      <c r="C64" s="262" t="s">
        <v>176</v>
      </c>
      <c r="D64" s="270" t="s">
        <v>198</v>
      </c>
      <c r="E64" s="264" t="s">
        <v>200</v>
      </c>
      <c r="F64" s="264" t="s">
        <v>10</v>
      </c>
      <c r="G64" s="264" t="s">
        <v>10</v>
      </c>
      <c r="H64" s="264" t="s">
        <v>167</v>
      </c>
      <c r="I64" s="265">
        <v>44822</v>
      </c>
      <c r="J64" s="266">
        <v>53073</v>
      </c>
      <c r="K64" s="267">
        <v>0.88074512192700005</v>
      </c>
      <c r="L64" s="267">
        <v>0.99257626288300005</v>
      </c>
      <c r="M64" s="267">
        <v>0.95888681627200001</v>
      </c>
      <c r="N64" s="267">
        <v>4.1113183728100001E-2</v>
      </c>
      <c r="O64" s="267">
        <v>2.12349028696E-2</v>
      </c>
      <c r="P64" s="267">
        <v>1.54504173497E-3</v>
      </c>
      <c r="Q64" s="267">
        <v>0</v>
      </c>
      <c r="R64" s="267">
        <v>0</v>
      </c>
      <c r="S64" s="267">
        <v>0</v>
      </c>
      <c r="T64" s="267">
        <v>1.9331863659500001E-2</v>
      </c>
      <c r="U64" s="267">
        <v>0.53438043817799996</v>
      </c>
      <c r="V64" s="268">
        <v>0.53438043817799996</v>
      </c>
      <c r="W64" s="269" t="s">
        <v>168</v>
      </c>
      <c r="X64" s="268">
        <v>0</v>
      </c>
      <c r="Y64" s="267" t="s">
        <v>168</v>
      </c>
      <c r="Z64" s="267">
        <v>0</v>
      </c>
      <c r="AA64" s="267" t="s">
        <v>168</v>
      </c>
    </row>
    <row r="65" spans="2:27" ht="15" customHeight="1" x14ac:dyDescent="0.25">
      <c r="B65" s="261">
        <v>9263</v>
      </c>
      <c r="C65" s="262" t="s">
        <v>169</v>
      </c>
      <c r="D65" s="270" t="s">
        <v>191</v>
      </c>
      <c r="E65" s="264" t="s">
        <v>203</v>
      </c>
      <c r="F65" s="264" t="s">
        <v>10</v>
      </c>
      <c r="G65" s="264" t="s">
        <v>10</v>
      </c>
      <c r="H65" s="264" t="s">
        <v>167</v>
      </c>
      <c r="I65" s="265">
        <v>48180</v>
      </c>
      <c r="J65" s="266">
        <v>52992</v>
      </c>
      <c r="K65" s="267">
        <v>0.94741809887100004</v>
      </c>
      <c r="L65" s="267">
        <v>0.996980676329</v>
      </c>
      <c r="M65" s="267">
        <v>0.95965428744000003</v>
      </c>
      <c r="N65" s="267">
        <v>4.0345712560400003E-2</v>
      </c>
      <c r="O65" s="267">
        <v>1.87009359903E-2</v>
      </c>
      <c r="P65" s="267">
        <v>2.0757850241499999E-4</v>
      </c>
      <c r="Q65" s="267">
        <v>0</v>
      </c>
      <c r="R65" s="267">
        <v>4.0383454106300001E-3</v>
      </c>
      <c r="S65" s="267">
        <v>0</v>
      </c>
      <c r="T65" s="267">
        <v>1.773852657E-2</v>
      </c>
      <c r="U65" s="267">
        <v>0.54887920298899995</v>
      </c>
      <c r="V65" s="268">
        <v>0.54887920298899995</v>
      </c>
      <c r="W65" s="269" t="s">
        <v>168</v>
      </c>
      <c r="X65" s="268">
        <v>0</v>
      </c>
      <c r="Y65" s="267" t="s">
        <v>168</v>
      </c>
      <c r="Z65" s="267">
        <v>0</v>
      </c>
      <c r="AA65" s="267" t="s">
        <v>168</v>
      </c>
    </row>
  </sheetData>
  <sheetProtection formatCells="0" insertColumns="0" insertRows="0" insertHyperlinks="0" deleteColumns="0" deleteRows="0" selectLockedCells="1" sort="0" autoFilter="0" pivotTables="0"/>
  <mergeCells count="11">
    <mergeCell ref="G6:H6"/>
    <mergeCell ref="G7:H7"/>
    <mergeCell ref="G8:H8"/>
    <mergeCell ref="D6:E6"/>
    <mergeCell ref="D8:E8"/>
    <mergeCell ref="A12:D12"/>
    <mergeCell ref="G12:H12"/>
    <mergeCell ref="G13:H13"/>
    <mergeCell ref="B9:E9"/>
    <mergeCell ref="A10:D10"/>
    <mergeCell ref="A11:D11"/>
  </mergeCells>
  <conditionalFormatting sqref="K16:AA65">
    <cfRule type="cellIs" dxfId="370" priority="9" operator="equal">
      <formula>""</formula>
    </cfRule>
  </conditionalFormatting>
  <conditionalFormatting sqref="A6:D8 A1:XFD5 A9:G9 F6:XFD6 E7:J7 F8:XFD8 I9:XFD9 AB7:XFD7 A10:XFD1048576">
    <cfRule type="expression" dxfId="369" priority="8">
      <formula>ISERROR(A1)</formula>
    </cfRule>
  </conditionalFormatting>
  <conditionalFormatting sqref="K16:AA65 K9:AA11">
    <cfRule type="expression" dxfId="368" priority="11">
      <formula>IF(K$7="N/A",0,IF(K$7="Above",K9&lt;=(1-$J$4)*K$8,K9&gt;=(1+$J$4)*K$8))</formula>
    </cfRule>
    <cfRule type="expression" dxfId="367" priority="12">
      <formula>IF(OR(K$7="N/A",K9=0),0,IF(K$7="Above",K9&gt;=(1+$J$3)*K$8,K9&lt;=(1-$J$3)*K$8))</formula>
    </cfRule>
  </conditionalFormatting>
  <conditionalFormatting sqref="H9">
    <cfRule type="expression" dxfId="366" priority="2">
      <formula>ISERROR(H9)</formula>
    </cfRule>
  </conditionalFormatting>
  <conditionalFormatting sqref="K7:AA7">
    <cfRule type="expression" dxfId="365" priority="1">
      <formula>ISERROR(K7)</formula>
    </cfRule>
  </conditionalFormatting>
  <dataValidations count="7">
    <dataValidation allowBlank="1" showInputMessage="1" showErrorMessage="1" errorTitle="Invalid Entry" error="Please select/enter a value from 1 to 5 from the dropdown." sqref="AB12:XFD13 K10:AA11 J11 G9:G11 J9 A13:D13 H9" xr:uid="{00000000-0002-0000-0300-000000000000}"/>
    <dataValidation type="list" allowBlank="1" showInputMessage="1" showErrorMessage="1" errorTitle="Invalid Entry" error="Please select/enter a value from 1 to 5 from the dropdown." sqref="J10" xr:uid="{00000000-0002-0000-03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300-000002000000}">
      <formula1>"0,1,2,3,4,5"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300-000004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300-000005000000}"/>
    <dataValidation allowBlank="1" showInputMessage="1" showErrorMessage="1" prompt="Cell will highlight red if performance deviates by more than this percentage of the client goal." sqref="J4" xr:uid="{00000000-0002-0000-0300-000006000000}"/>
    <dataValidation type="list" allowBlank="1" showInputMessage="1" showErrorMessage="1" sqref="B15" xr:uid="{00000000-0002-0000-0300-000007000000}">
      <formula1>"Brand, Region (Team), Region (Campaign), Partner Type"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FE530159-CB77-495A-99FE-9DA174ECD11C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K16:AA65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4" width="60.54296875" style="50" hidden="1" customWidth="1"/>
    <col min="5" max="6" width="30.453125" style="50" customWidth="1"/>
    <col min="7" max="7" width="18.54296875" style="50" hidden="1" customWidth="1"/>
    <col min="8" max="8" width="21.7265625" style="50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3" t="s">
        <v>21</v>
      </c>
      <c r="E1" s="52"/>
      <c r="F1" s="52"/>
      <c r="G1" s="13" t="s">
        <v>21</v>
      </c>
      <c r="H1" s="11"/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6"/>
      <c r="E2" s="52"/>
      <c r="F2" s="52"/>
      <c r="G2" s="16"/>
      <c r="H2" s="11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6"/>
      <c r="E3" s="52"/>
      <c r="F3" s="52"/>
      <c r="G3" s="16"/>
      <c r="H3" s="11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6"/>
      <c r="E4" s="52"/>
      <c r="F4" s="52"/>
      <c r="G4" s="16"/>
      <c r="H4" s="11"/>
      <c r="I4" s="16"/>
      <c r="J4" s="77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6"/>
      <c r="E5" s="52"/>
      <c r="F5" s="52"/>
      <c r="G5" s="16"/>
      <c r="H5" s="11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6" t="s">
        <v>155</v>
      </c>
      <c r="C6" s="76"/>
      <c r="D6" s="70" t="s">
        <v>155</v>
      </c>
      <c r="E6" s="237" t="s">
        <v>155</v>
      </c>
      <c r="F6" s="237"/>
      <c r="G6" s="219" t="s">
        <v>133</v>
      </c>
      <c r="H6" s="220"/>
      <c r="I6" s="89"/>
      <c r="J6" s="11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</row>
    <row r="7" spans="1:121" s="18" customFormat="1" ht="15" hidden="1" customHeight="1" thickBot="1" x14ac:dyDescent="0.4">
      <c r="A7" s="27"/>
      <c r="B7" s="28"/>
      <c r="C7" s="28"/>
      <c r="D7" s="28"/>
      <c r="E7" s="28"/>
      <c r="F7" s="60"/>
      <c r="G7" s="228" t="s">
        <v>132</v>
      </c>
      <c r="H7" s="229"/>
      <c r="I7" s="108"/>
      <c r="J7" s="125" t="s">
        <v>0</v>
      </c>
      <c r="K7" s="155" t="s">
        <v>2</v>
      </c>
      <c r="L7" s="155" t="s">
        <v>2</v>
      </c>
      <c r="M7" s="156" t="s">
        <v>2</v>
      </c>
      <c r="N7" s="156" t="s">
        <v>3</v>
      </c>
      <c r="O7" s="156" t="s">
        <v>3</v>
      </c>
      <c r="P7" s="156" t="s">
        <v>3</v>
      </c>
      <c r="Q7" s="29" t="s">
        <v>3</v>
      </c>
      <c r="R7" s="155" t="s">
        <v>3</v>
      </c>
      <c r="S7" s="155" t="s">
        <v>3</v>
      </c>
      <c r="T7" s="155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5" t="s">
        <v>2</v>
      </c>
      <c r="AA7" s="155" t="s">
        <v>2</v>
      </c>
    </row>
    <row r="8" spans="1:121" s="18" customFormat="1" ht="15.75" customHeight="1" x14ac:dyDescent="0.35">
      <c r="A8" s="22"/>
      <c r="B8" s="70"/>
      <c r="C8" s="70"/>
      <c r="D8" s="70"/>
      <c r="E8" s="238" t="str">
        <f ca="1">MID(CELL("filename",A1),FIND("]",CELL("filename",A1))+1,255)&amp;" Level Scorecard"</f>
        <v>Partner &amp; Placement Level Scorecard</v>
      </c>
      <c r="F8" s="238"/>
      <c r="G8" s="240" t="s">
        <v>132</v>
      </c>
      <c r="H8" s="241"/>
      <c r="I8" s="128"/>
      <c r="J8" s="126" t="s">
        <v>16</v>
      </c>
      <c r="K8" s="127">
        <f>VLOOKUP(K6,Benchmark_Legend[],MATCH(ColumnPP[[#This Row],[Metric]],Benchmark_Legend[#Headers],0),0)</f>
        <v>0.7</v>
      </c>
      <c r="L8" s="127">
        <f>VLOOKUP(L6,Benchmark_Legend[],MATCH(ColumnPP[[#This Row],[Metric]],Benchmark_Legend[#Headers],0),0)</f>
        <v>0.98</v>
      </c>
      <c r="M8" s="127">
        <f>VLOOKUP(M6,Benchmark_Legend[],MATCH(ColumnPP[[#This Row],[Metric]],Benchmark_Legend[#Headers],0),0)</f>
        <v>0.95</v>
      </c>
      <c r="N8" s="127">
        <f>VLOOKUP(N6,Benchmark_Legend[],MATCH(ColumnPP[[#This Row],[Metric]],Benchmark_Legend[#Headers],0),0)</f>
        <v>0.05</v>
      </c>
      <c r="O8" s="127">
        <f>VLOOKUP(O6,Benchmark_Legend[],MATCH(ColumnPP[[#This Row],[Metric]],Benchmark_Legend[#Headers],0),0)</f>
        <v>0.02</v>
      </c>
      <c r="P8" s="127">
        <f>VLOOKUP(P6,Benchmark_Legend[],MATCH(ColumnPP[[#This Row],[Metric]],Benchmark_Legend[#Headers],0),0)</f>
        <v>0.02</v>
      </c>
      <c r="Q8" s="127">
        <f>VLOOKUP(Q6,Benchmark_Legend[],MATCH(ColumnPP[[#This Row],[Metric]],Benchmark_Legend[#Headers],0),0)</f>
        <v>0.01</v>
      </c>
      <c r="R8" s="127">
        <f>VLOOKUP(R6,Benchmark_Legend[],MATCH(ColumnPP[[#This Row],[Metric]],Benchmark_Legend[#Headers],0),0)</f>
        <v>0.01</v>
      </c>
      <c r="S8" s="127">
        <f>VLOOKUP(S6,Benchmark_Legend[],MATCH(ColumnPP[[#This Row],[Metric]],Benchmark_Legend[#Headers],0),0)</f>
        <v>0.01</v>
      </c>
      <c r="T8" s="127">
        <f>VLOOKUP(T6,Benchmark_Legend[],MATCH(ColumnPP[[#This Row],[Metric]],Benchmark_Legend[#Headers],0),0)</f>
        <v>0.03</v>
      </c>
      <c r="U8" s="127">
        <f>VLOOKUP(U6,Benchmark_Legend[],MATCH(ColumnPP[[#This Row],[Metric]],Benchmark_Legend[#Headers],0),0)</f>
        <v>0.55000000000000004</v>
      </c>
      <c r="V8" s="127">
        <f>VLOOKUP(V6,Benchmark_Legend[],MATCH(ColumnPP[[#This Row],[Metric]],Benchmark_Legend[#Headers],0),0)</f>
        <v>0.6</v>
      </c>
      <c r="W8" s="127">
        <f>VLOOKUP(W6,Benchmark_Legend[],MATCH(ColumnPP[[#This Row],[Metric]],Benchmark_Legend[#Headers],0),0)</f>
        <v>0.5</v>
      </c>
      <c r="X8" s="127">
        <f>VLOOKUP(X6,Benchmark_Legend[],MATCH(ColumnPP[[#This Row],[Metric]],Benchmark_Legend[#Headers],0),0)</f>
        <v>0.35</v>
      </c>
      <c r="Y8" s="127">
        <f>VLOOKUP(Y6,Benchmark_Legend[],MATCH(ColumnPP[[#This Row],[Metric]],Benchmark_Legend[#Headers],0),0)</f>
        <v>0.25</v>
      </c>
      <c r="Z8" s="127">
        <f>VLOOKUP(Z6,Benchmark_Legend[],MATCH(ColumnPP[[#This Row],[Metric]],Benchmark_Legend[#Headers],0),0)</f>
        <v>0.35</v>
      </c>
      <c r="AA8" s="127">
        <f>VLOOKUP(AA6,Benchmark_Legend[],MATCH(ColumnPP[[#This Row],[Metric]],Benchmark_Legend[#Headers],0),0)</f>
        <v>0.25</v>
      </c>
    </row>
    <row r="9" spans="1:121" s="18" customFormat="1" ht="15.75" customHeight="1" thickBot="1" x14ac:dyDescent="0.4">
      <c r="A9" s="22"/>
      <c r="B9" s="232" t="s">
        <v>154</v>
      </c>
      <c r="C9" s="232"/>
      <c r="D9" s="232"/>
      <c r="E9" s="232"/>
      <c r="F9" s="232"/>
      <c r="G9" s="120" t="s">
        <v>14</v>
      </c>
      <c r="H9" s="121" t="s">
        <v>14</v>
      </c>
      <c r="I9" s="109"/>
      <c r="J9" s="110" t="s">
        <v>130</v>
      </c>
      <c r="K9" s="99">
        <f t="array" aca="1" ref="K9" ca="1">SUM(
IF((DataPP[Measured Rate 
'[% Measured']]&lt;&gt;"NULL"),
DataPP[Measured Rate 
'[% Measured']]*
SUBTOTAL(9,OFFSET(DataPP[Total Impressions],ROW(DataPP[Total Impressions])-MIN(ROW(DataPP[Total Impressions])),0,1))))
/
SUM(
IF((DataPP[Measured Rate 
'[% Measured']]&lt;&gt;"NULL"),
SUBTOTAL(9,OFFSET(DataPP[Total Impressions],ROW(DataPP[Total Impressions])-MIN(ROW(DataPP[Total Impressions])),0,1))))</f>
        <v>0.7</v>
      </c>
      <c r="L9" s="99">
        <f t="array" aca="1" ref="L9" ca="1">SUM(
IF((DataPP[See-Through Rate 
'[% Visible']]&lt;&gt;"NULL"),
DataPP[See-Through Rate 
'[% Visible']]*
SUBTOTAL(9,OFFSET(DataPP[Total Impressions],ROW(DataPP[Total Impressions])-MIN(ROW(DataPP[Total Impressions])),0,1))))
/
SUM(
IF((DataPP[See-Through Rate 
'[% Visible']]&lt;&gt;"NULL"),
SUBTOTAL(9,OFFSET(DataPP[Total Impressions],ROW(DataPP[Total Impressions])-MIN(ROW(DataPP[Total Impressions])),0,1))))</f>
        <v>0.98</v>
      </c>
      <c r="M9" s="111">
        <f t="array" aca="1" ref="M9" ca="1">SUM(
IF((DataPP[Brand Safety 
'[% Passed']]&lt;&gt;"NULL"),
DataPP[Brand Safety 
'[% Passed']]*
SUBTOTAL(9,OFFSET(DataPP[Total Impressions],ROW(DataPP[Total Impressions])-MIN(ROW(DataPP[Total Impressions])),0,1))))
/
SUM(
IF((DataPP[Brand Safety 
'[% Passed']]&lt;&gt;"NULL"),
SUBTOTAL(9,OFFSET(DataPP[Total Impressions],ROW(DataPP[Total Impressions])-MIN(ROW(DataPP[Total Impressions])),0,1))))</f>
        <v>0.95</v>
      </c>
      <c r="N9" s="111">
        <f t="array" aca="1" ref="N9" ca="1">SUM(
IF((DataPP[Brand Safety 
'[% Failed']]&lt;&gt;"NULL"),
DataPP[Brand Safety 
'[% Failed']]*
SUBTOTAL(9,OFFSET(DataPP[Total Impressions],ROW(DataPP[Total Impressions])-MIN(ROW(DataPP[Total Impressions])),0,1))))
/
SUM(
IF((DataPP[Brand Safety 
'[% Failed']]&lt;&gt;"NULL"),
SUBTOTAL(9,OFFSET(DataPP[Total Impressions],ROW(DataPP[Total Impressions])-MIN(ROW(DataPP[Total Impressions])),0,1))))</f>
        <v>0.05</v>
      </c>
      <c r="O9" s="111">
        <f t="array" aca="1" ref="O9" ca="1">SUM(
IF((DataPP[Brand Safety 
'[% Failed by Content']]&lt;&gt;"NULL"),
DataPP[Brand Safety 
'[% Failed by Content']]*
SUBTOTAL(9,OFFSET(DataPP[Total Impressions],ROW(DataPP[Total Impressions])-MIN(ROW(DataPP[Total Impressions])),0,1))))
/
SUM(
IF((DataPP[Brand Safety 
'[% Failed by Content']]&lt;&gt;"NULL"),
SUBTOTAL(9,OFFSET(DataPP[Total Impressions],ROW(DataPP[Total Impressions])-MIN(ROW(DataPP[Total Impressions])),0,1))))</f>
        <v>0.02</v>
      </c>
      <c r="P9" s="111">
        <f t="array" aca="1" ref="P9" ca="1">SUM(
IF((DataPP[Brand Safety 
'[% Failed by Geo']]&lt;&gt;"NULL"),
DataPP[Brand Safety 
'[% Failed by Geo']]*
SUBTOTAL(9,OFFSET(DataPP[Total Impressions],ROW(DataPP[Total Impressions])-MIN(ROW(DataPP[Total Impressions])),0,1))))
/
SUM(
IF((DataPP[Brand Safety 
'[% Failed by Geo']]&lt;&gt;"NULL"),
SUBTOTAL(9,OFFSET(DataPP[Total Impressions],ROW(DataPP[Total Impressions])-MIN(ROW(DataPP[Total Impressions])),0,1))))</f>
        <v>0.02</v>
      </c>
      <c r="Q9" s="99">
        <f t="array" aca="1" ref="Q9" ca="1">SUM(
IF((DataPP[Brand Safety 
'[% Failed by Keyword']]&lt;&gt;"NULL"),
DataPP[Brand Safety 
'[% Failed by Keyword']]*
SUBTOTAL(9,OFFSET(DataPP[Total Impressions],ROW(DataPP[Total Impressions])-MIN(ROW(DataPP[Total Impressions])),0,1))))
/
SUM(
IF((DataPP[Brand Safety 
'[% Failed by Keyword']]&lt;&gt;"NULL"),
SUBTOTAL(9,OFFSET(DataPP[Total Impressions],ROW(DataPP[Total Impressions])-MIN(ROW(DataPP[Total Impressions])),0,1))))</f>
        <v>0.01</v>
      </c>
      <c r="R9" s="99">
        <f t="array" aca="1" ref="R9" ca="1">SUM(
IF((DataPP[Brand Safety 
'[% Failed by Blacklist']]&lt;&gt;"NULL"),
DataPP[Brand Safety 
'[% Failed by Blacklist']]*
SUBTOTAL(9,OFFSET(DataPP[Total Impressions],ROW(DataPP[Total Impressions])-MIN(ROW(DataPP[Total Impressions])),0,1))))
/
SUM(
IF((DataPP[Brand Safety 
'[% Failed by Blacklist']]&lt;&gt;"NULL"),
SUBTOTAL(9,OFFSET(DataPP[Total Impressions],ROW(DataPP[Total Impressions])-MIN(ROW(DataPP[Total Impressions])),0,1))))</f>
        <v>0.01</v>
      </c>
      <c r="S9" s="99">
        <f t="array" aca="1" ref="S9" ca="1">SUM(
IF((DataPP[Brand Safety 
'[% Failed by Language']]&lt;&gt;"NULL"),
DataPP[Brand Safety 
'[% Failed by Language']]*
SUBTOTAL(9,OFFSET(DataPP[Total Impressions],ROW(DataPP[Total Impressions])-MIN(ROW(DataPP[Total Impressions])),0,1))))
/
SUM(
IF((DataPP[Brand Safety 
'[% Failed by Language']]&lt;&gt;"NULL"),
SUBTOTAL(9,OFFSET(DataPP[Total Impressions],ROW(DataPP[Total Impressions])-MIN(ROW(DataPP[Total Impressions])),0,1))))</f>
        <v>0.01</v>
      </c>
      <c r="T9" s="99">
        <f t="array" aca="1" ref="T9" ca="1">SUM(
IF((DataPP[Fraud 
'[% Fraud']]&lt;&gt;"NULL"),
DataPP[Fraud 
'[% Fraud']]*
SUBTOTAL(9,OFFSET(DataPP[Total Impressions],ROW(DataPP[Total Impressions])-MIN(ROW(DataPP[Total Impressions])),0,1))))
/
SUM(
IF((DataPP[Fraud 
'[% Fraud']]&lt;&gt;"NULL"),
SUBTOTAL(9,OFFSET(DataPP[Total Impressions],ROW(DataPP[Total Impressions])-MIN(ROW(DataPP[Total Impressions])),0,1))))</f>
        <v>0.03</v>
      </c>
      <c r="U9" s="99">
        <f t="array" aca="1" ref="U9" ca="1">SUM(
IF((DataPP[Viewability 
'[Total Viewable Rate (Total Net Metrics)']]&lt;&gt;"NULL"),
DataPP[Viewability 
'[Total Viewable Rate (Total Net Metrics)']]*SUBTOTAL(9,OFFSET(DataPP[Measured Impressions],ROW(DataPP[Measured Impressions])-MIN(ROW(DataPP[Measured Impressions])),0,1))))
/
SUM(
IF((DataPP[Viewability 
'[Total Viewable Rate (Total Net Metrics)']]&lt;&gt;"NULL"),
SUBTOTAL(9,OFFSET(DataPP[Measured Impressions],ROW(DataPP[Measured Impressions])-MIN(ROW(DataPP[Measured Impressions])),0,1))))</f>
        <v>0.55000000000000004</v>
      </c>
      <c r="V9" s="99">
        <f t="array" aca="1" ref="V9" ca="1">SUM(
IF((DataPP[Display Viewability 
'[Total Viewable Rate (Total Net Metrics)']]&lt;&gt;"NULL"),
DataPP[Display Viewability 
'[Total Viewable Rate (Total Net Metrics)']]*SUBTOTAL(9,OFFSET(DataPP[Measured Impressions],ROW(DataPP[Measured Impressions])-MIN(ROW(DataPP[Measured Impressions])),0,1))))
/
SUM(
IF((DataPP[Display Viewability 
'[Total Viewable Rate (Total Net Metrics)']]&lt;&gt;"NULL"),
SUBTOTAL(9,OFFSET(DataPP[Measured Impressions],ROW(DataPP[Measured Impressions])-MIN(ROW(DataPP[Measured Impressions])),0,1))))</f>
        <v>0.6</v>
      </c>
      <c r="W9" s="111">
        <f t="array" aca="1" ref="W9" ca="1">SUM(
IF((DataPP[Video Viewability 
'[Total Viewable Rate (Total Net Metrics)']]&lt;&gt;"NULL"),
DataPP[Video Viewability 
'[Total Viewable Rate (Total Net Metrics)']]*SUBTOTAL(9,OFFSET(DataPP[Measured Impressions],ROW(DataPP[Measured Impressions])-MIN(ROW(DataPP[Measured Impressions])),0,1))))
/
SUM(
IF((DataPP[Video Viewability 
'[Total Viewable Rate (Total Net Metrics)']]&lt;&gt;"NULL"),
SUBTOTAL(9,OFFSET(DataPP[Measured Impressions],ROW(DataPP[Measured Impressions])-MIN(ROW(DataPP[Measured Impressions])),0,1))))</f>
        <v>0.5</v>
      </c>
      <c r="X9" s="99">
        <f t="array" aca="1" ref="X9" ca="1">SUM(
IF((DataPP[GroupM Viewability 
'[% Display Ads Fully in View']]&lt;&gt;"NULL"),
DataPP[GroupM Viewability 
'[% Display Ads Fully in View']]*SUBTOTAL(9,OFFSET(DataPP[Measured Impressions],ROW(DataPP[Measured Impressions])-MIN(ROW(DataPP[Measured Impressions])),0,1))))
/
SUM(
IF((DataPP[GroupM Viewability 
'[% Display Ads Fully in View']]&lt;&gt;"NULL"),
SUBTOTAL(9,OFFSET(DataPP[Measured Impressions],ROW(DataPP[Measured Impressions])-MIN(ROW(DataPP[Measured Impressions])),0,1))))</f>
        <v>0.35</v>
      </c>
      <c r="Y9" s="111">
        <f t="array" aca="1" ref="Y9" ca="1">SUM(
IF((DataPP[GroupM Viewability 
'[% Videos Fully in View']]&lt;&gt;"NULL"),
DataPP[GroupM Viewability 
'[% Videos Fully in View']]*SUBTOTAL(9,OFFSET(DataPP[Measured Impressions],ROW(DataPP[Measured Impressions])-MIN(ROW(DataPP[Measured Impressions])),0,1))))
/
SUM(
IF((DataPP[GroupM Viewability 
'[% Videos Fully in View']]&lt;&gt;"NULL"),
SUBTOTAL(9,OFFSET(DataPP[Measured Impressions],ROW(DataPP[Measured Impressions])-MIN(ROW(DataPP[Measured Impressions])),0,1))))</f>
        <v>0.25</v>
      </c>
      <c r="Z9" s="99">
        <f t="array" aca="1" ref="Z9" ca="1">SUM(
IF((DataPP[Publicis Viewability 
'[% Display Ads Fully in View']]&lt;&gt;"NULL"),
DataPP[Publicis Viewability 
'[% Display Ads Fully in View']]*SUBTOTAL(9,OFFSET(DataPP[Measured Impressions],ROW(DataPP[Measured Impressions])-MIN(ROW(DataPP[Measured Impressions])),0,1))))
/
SUM(
IF((DataPP[Publicis Viewability 
'[% Display Ads Fully in View']]&lt;&gt;"NULL"),
SUBTOTAL(9,OFFSET(DataPP[Measured Impressions],ROW(DataPP[Measured Impressions])-MIN(ROW(DataPP[Measured Impressions])),0,1))))</f>
        <v>0.35</v>
      </c>
      <c r="AA9" s="99">
        <f t="array" aca="1" ref="AA9" ca="1">SUM(
IF((DataPP[Publicis Viewability 
'[% Videos Fully in View']]&lt;&gt;"NULL"),
DataPP[Publicis Viewability 
'[% Videos Fully in View']]*SUBTOTAL(9,OFFSET(DataPP[Measured Impressions],ROW(DataPP[Measured Impressions])-MIN(ROW(DataPP[Measured Impressions])),0,1))))
/
SUM(
IF((DataPP[Publicis Viewability 
'[% Videos Fully in View']]&lt;&gt;"NULL"),
SUBTOTAL(9,OFFSET(DataPP[Measured Impressions],ROW(DataPP[Measured Impressions])-MIN(ROW(DataPP[Measured Impressions])),0,1))))</f>
        <v>0.25</v>
      </c>
    </row>
    <row r="10" spans="1:121" s="18" customFormat="1" ht="15.75" hidden="1" customHeight="1" x14ac:dyDescent="0.35">
      <c r="A10" s="233"/>
      <c r="B10" s="234"/>
      <c r="C10" s="234"/>
      <c r="D10" s="234"/>
      <c r="E10" s="60"/>
      <c r="F10" s="60"/>
      <c r="G10" s="123" t="s">
        <v>14</v>
      </c>
      <c r="H10" s="123"/>
      <c r="I10" s="27"/>
      <c r="J10" s="101" t="s">
        <v>126</v>
      </c>
      <c r="K10" s="31" t="e">
        <f t="array" aca="1" ref="K10" ca="1">SUM(
IF(DataPP[Measured Rate 
'[% Measured']]&lt;&gt;"NULL",
IF(DataPP[Device Type]=ColumnPP[[#This Row],[Metric]],
DataPP[Measured Rate 
'[% Measured']]*
SUBTOTAL(9,OFFSET(DataPP[Total Impressions],ROW(DataPP[Total Impressions])-MIN(ROW(DataPP[Total Impressions])),0,1)))))
/
SUM(
IF(DataPP[Measured Rate 
'[% Measured']]&lt;&gt;"NULL",
IF(DataPP[Device Type]=ColumnPP[[#This Row],[Metric]],
SUBTOTAL(9,OFFSET(DataPP[Total Impressions],ROW(DataPP[Total Impressions])-MIN(ROW(DataPP[Total Impressions])),0,1)))))</f>
        <v>#DIV/0!</v>
      </c>
      <c r="L10" s="32" t="e">
        <f t="array" aca="1" ref="L10" ca="1">SUM(
IF(DataPP[See-Through Rate 
'[% Visible']]&lt;&gt;"NULL",
IF(DataPP[Device Type]=ColumnPP[[#This Row],[Metric]],
DataPP[See-Through Rate 
'[% Visible']]*
SUBTOTAL(9,OFFSET(DataPP[Total Impressions],ROW(DataPP[Total Impressions])-MIN(ROW(DataPP[Total Impressions])),0,1)))))
/
SUM(
IF(DataPP[See-Through Rate 
'[% Visible']]&lt;&gt;"NULL",
IF(DataPP[Device Type]=ColumnPP[[#This Row],[Metric]],
SUBTOTAL(9,OFFSET(DataPP[Total Impressions],ROW(DataPP[Total Impressions])-MIN(ROW(DataPP[Total Impressions])),0,1)))))</f>
        <v>#DIV/0!</v>
      </c>
      <c r="M10" s="32" t="e">
        <f t="array" aca="1" ref="M10" ca="1">SUM(
IF(DataPP[Brand Safety 
'[% Passed']]&lt;&gt;"NULL",
IF(DataPP[Device Type]=ColumnPP[[#This Row],[Metric]],
DataPP[Brand Safety 
'[% Passed']]*
SUBTOTAL(9,OFFSET(DataPP[Total Impressions],ROW(DataPP[Total Impressions])-MIN(ROW(DataPP[Total Impressions])),0,1)))))
/
SUM(
IF(DataPP[Brand Safety 
'[% Passed']]&lt;&gt;"NULL",
IF(DataPP[Device Type]=ColumnPP[[#This Row],[Metric]],
SUBTOTAL(9,OFFSET(DataPP[Total Impressions],ROW(DataPP[Total Impressions])-MIN(ROW(DataPP[Total Impressions])),0,1)))))</f>
        <v>#DIV/0!</v>
      </c>
      <c r="N10" s="32" t="e">
        <f t="array" aca="1" ref="N10" ca="1">SUM(
IF(DataPP[Brand Safety 
'[% Failed']]&lt;&gt;"NULL",
IF(DataPP[Device Type]=ColumnPP[[#This Row],[Metric]],
DataPP[Brand Safety 
'[% Failed']]*
SUBTOTAL(9,OFFSET(DataPP[Total Impressions],ROW(DataPP[Total Impressions])-MIN(ROW(DataPP[Total Impressions])),0,1)))))
/
SUM(
IF(DataPP[Brand Safety 
'[% Failed']]&lt;&gt;"NULL",
IF(DataPP[Device Type]=ColumnPP[[#This Row],[Metric]],
SUBTOTAL(9,OFFSET(DataPP[Total Impressions],ROW(DataPP[Total Impressions])-MIN(ROW(DataPP[Total Impressions])),0,1)))))</f>
        <v>#DIV/0!</v>
      </c>
      <c r="O10" s="32" t="e">
        <f t="array" aca="1" ref="O10" ca="1">SUM(
IF(DataPP[Brand Safety 
'[% Failed by Content']]&lt;&gt;"NULL",
IF(DataPP[Device Type]=ColumnPP[[#This Row],[Metric]],
DataPP[Brand Safety 
'[% Failed by Content']]*
SUBTOTAL(9,OFFSET(DataPP[Total Impressions],ROW(DataPP[Total Impressions])-MIN(ROW(DataPP[Total Impressions])),0,1)))))
/
SUM(
IF(DataPP[Brand Safety 
'[% Failed by Content']]&lt;&gt;"NULL",
IF(DataPP[Device Type]=ColumnPP[[#This Row],[Metric]],
SUBTOTAL(9,OFFSET(DataPP[Total Impressions],ROW(DataPP[Total Impressions])-MIN(ROW(DataPP[Total Impressions])),0,1)))))</f>
        <v>#DIV/0!</v>
      </c>
      <c r="P10" s="32" t="e">
        <f t="array" aca="1" ref="P10" ca="1">SUM(
IF(DataPP[Brand Safety 
'[% Failed by Geo']]&lt;&gt;"NULL",
IF(DataPP[Device Type]=ColumnPP[[#This Row],[Metric]],
DataPP[Brand Safety 
'[% Failed by Geo']]*
SUBTOTAL(9,OFFSET(DataPP[Total Impressions],ROW(DataPP[Total Impressions])-MIN(ROW(DataPP[Total Impressions])),0,1)))))
/
SUM(
IF(DataPP[Brand Safety 
'[% Failed by Geo']]&lt;&gt;"NULL",
IF(DataPP[Device Type]=ColumnPP[[#This Row],[Metric]],
SUBTOTAL(9,OFFSET(DataPP[Total Impressions],ROW(DataPP[Total Impressions])-MIN(ROW(DataPP[Total Impressions])),0,1)))))</f>
        <v>#DIV/0!</v>
      </c>
      <c r="Q10" s="32" t="e">
        <f t="array" aca="1" ref="Q10" ca="1">SUM(
IF(DataPP[Brand Safety 
'[% Failed by Keyword']]&lt;&gt;"NULL",
IF(DataPP[Device Type]=ColumnPP[[#This Row],[Metric]],
DataPP[Brand Safety 
'[% Failed by Keyword']]*
SUBTOTAL(9,OFFSET(DataPP[Total Impressions],ROW(DataPP[Total Impressions])-MIN(ROW(DataPP[Total Impressions])),0,1)))))
/
SUM(
IF(DataPP[Brand Safety 
'[% Failed by Keyword']]&lt;&gt;"NULL",
IF(DataPP[Device Type]=ColumnPP[[#This Row],[Metric]],
SUBTOTAL(9,OFFSET(DataPP[Total Impressions],ROW(DataPP[Total Impressions])-MIN(ROW(DataPP[Total Impressions])),0,1)))))</f>
        <v>#DIV/0!</v>
      </c>
      <c r="R10" s="32" t="e">
        <f t="array" aca="1" ref="R10" ca="1">SUM(
IF(DataPP[Brand Safety 
'[% Failed by Blacklist']]&lt;&gt;"NULL",
IF(DataPP[Device Type]=ColumnPP[[#This Row],[Metric]],
DataPP[Brand Safety 
'[% Failed by Blacklist']]*
SUBTOTAL(9,OFFSET(DataPP[Total Impressions],ROW(DataPP[Total Impressions])-MIN(ROW(DataPP[Total Impressions])),0,1)))))
/
SUM(
IF(DataPP[Brand Safety 
'[% Failed by Blacklist']]&lt;&gt;"NULL",
IF(DataPP[Device Type]=ColumnPP[[#This Row],[Metric]],
SUBTOTAL(9,OFFSET(DataPP[Total Impressions],ROW(DataPP[Total Impressions])-MIN(ROW(DataPP[Total Impressions])),0,1)))))</f>
        <v>#DIV/0!</v>
      </c>
      <c r="S10" s="32" t="e">
        <f t="array" aca="1" ref="S10" ca="1">SUM(
IF(DataPP[Brand Safety 
'[% Failed by Language']]&lt;&gt;"NULL",
IF(DataPP[Device Type]=ColumnPP[[#This Row],[Metric]],
DataPP[Brand Safety 
'[% Failed by Language']]*
SUBTOTAL(9,OFFSET(DataPP[Total Impressions],ROW(DataPP[Total Impressions])-MIN(ROW(DataPP[Total Impressions])),0,1)))))
/
SUM(
IF(DataPP[Brand Safety 
'[% Failed by Language']]&lt;&gt;"NULL",
IF(DataPP[Device Type]=ColumnPP[[#This Row],[Metric]],
SUBTOTAL(9,OFFSET(DataPP[Total Impressions],ROW(DataPP[Total Impressions])-MIN(ROW(DataPP[Total Impressions])),0,1)))))</f>
        <v>#DIV/0!</v>
      </c>
      <c r="T10" s="32" t="e">
        <f t="array" aca="1" ref="T10" ca="1">SUM(
IF(DataPP[Fraud 
'[% Fraud']]&lt;&gt;"NULL",
IF(DataPP[Device Type]=ColumnPP[[#This Row],[Metric]],
DataPP[Fraud 
'[% Fraud']]*
SUBTOTAL(9,OFFSET(DataPP[Total Impressions],ROW(DataPP[Total Impressions])-MIN(ROW(DataPP[Total Impressions])),0,1)))))
/
SUM(
IF(DataPP[Fraud 
'[% Fraud']]&lt;&gt;"NULL",
IF(DataPP[Device Type]=ColumnPP[[#This Row],[Metric]],
SUBTOTAL(9,OFFSET(DataPP[Total Impressions],ROW(DataPP[Total Impressions])-MIN(ROW(DataPP[Total Impressions])),0,1)))))</f>
        <v>#DIV/0!</v>
      </c>
      <c r="U10" s="32" t="e">
        <f t="array" aca="1" ref="U10" ca="1">SUM(
IF(DataPP[Viewability 
'[Total Viewable Rate (Total Net Metrics)']]&lt;&gt;"NULL",
IF(DataPP[Device Type]=ColumnPP[[#This Row],[Metric]],
DataPP[Viewability 
'[Total Viewable Rate (Total Net Metrics)']]*
SUBTOTAL(9,OFFSET(DataPP[Total Impressions],ROW(DataPP[Total Impressions])-MIN(ROW(DataPP[Total Impressions])),0,1)))))
/
SUM(
IF(DataPP[Viewability 
'[Total Viewable Rate (Total Net Metrics)']]&lt;&gt;"NULL",
IF(DataPP[Device Type]=ColumnPP[[#This Row],[Metric]],
SUBTOTAL(9,OFFSET(DataPP[Total Impressions],ROW(DataPP[Total Impressions])-MIN(ROW(DataPP[Total Impressions])),0,1)))))</f>
        <v>#DIV/0!</v>
      </c>
      <c r="V10" s="32" t="e">
        <f t="array" aca="1" ref="V10" ca="1">SUM(
IF(DataPP[Display Viewability 
'[Total Viewable Rate (Total Net Metrics)']]&lt;&gt;"NULL",
IF(DataPP[Device Type]=ColumnPP[[#This Row],[Metric]],
DataPP[Display Viewability 
'[Total Viewable Rate (Total Net Metrics)']]*
SUBTOTAL(9,OFFSET(DataPP[Total Impressions],ROW(DataPP[Total Impressions])-MIN(ROW(DataPP[Total Impressions])),0,1)))))
/
SUM(
IF(DataPP[Display Viewability 
'[Total Viewable Rate (Total Net Metrics)']]&lt;&gt;"NULL",
IF(DataPP[Device Type]=ColumnPP[[#This Row],[Metric]],
SUBTOTAL(9,OFFSET(DataPP[Total Impressions],ROW(DataPP[Total Impressions])-MIN(ROW(DataPP[Total Impressions])),0,1)))))</f>
        <v>#DIV/0!</v>
      </c>
      <c r="W10" s="32" t="e">
        <f t="array" aca="1" ref="W10" ca="1">SUM(
IF(DataPP[Video Viewability 
'[Total Viewable Rate (Total Net Metrics)']]&lt;&gt;"NULL",
IF(DataPP[Device Type]=ColumnPP[[#This Row],[Metric]],
DataPP[Video Viewability 
'[Total Viewable Rate (Total Net Metrics)']]*
SUBTOTAL(9,OFFSET(DataPP[Total Impressions],ROW(DataPP[Total Impressions])-MIN(ROW(DataPP[Total Impressions])),0,1)))))
/
SUM(
IF(DataPP[Video Viewability 
'[Total Viewable Rate (Total Net Metrics)']]&lt;&gt;"NULL",
IF(DataPP[Device Type]=ColumnPP[[#This Row],[Metric]],
SUBTOTAL(9,OFFSET(DataPP[Total Impressions],ROW(DataPP[Total Impressions])-MIN(ROW(DataPP[Total Impressions])),0,1)))))</f>
        <v>#DIV/0!</v>
      </c>
      <c r="X10" s="32" t="e">
        <f t="array" aca="1" ref="X10" ca="1">SUM(
IF(DataPP[GroupM Viewability 
'[% Display Ads Fully in View']]&lt;&gt;"NULL",
IF(DataPP[Device Type]=ColumnPP[[#This Row],[Metric]],
DataPP[GroupM Viewability 
'[% Display Ads Fully in View']]*
SUBTOTAL(9,OFFSET(DataPP[Total Impressions],ROW(DataPP[Total Impressions])-MIN(ROW(DataPP[Total Impressions])),0,1)))))
/
SUM(
IF(DataPP[GroupM Viewability 
'[% Display Ads Fully in View']]&lt;&gt;"NULL",
IF(DataPP[Device Type]=ColumnPP[[#This Row],[Metric]],
SUBTOTAL(9,OFFSET(DataPP[Total Impressions],ROW(DataPP[Total Impressions])-MIN(ROW(DataPP[Total Impressions])),0,1)))))</f>
        <v>#DIV/0!</v>
      </c>
      <c r="Y10" s="32" t="e">
        <f t="array" aca="1" ref="Y10" ca="1">SUM(
IF(DataPP[GroupM Viewability 
'[% Videos Fully in View']]&lt;&gt;"NULL",
IF(DataPP[Device Type]=ColumnPP[[#This Row],[Metric]],
DataPP[GroupM Viewability 
'[% Videos Fully in View']]*
SUBTOTAL(9,OFFSET(DataPP[Total Impressions],ROW(DataPP[Total Impressions])-MIN(ROW(DataPP[Total Impressions])),0,1)))))
/
SUM(
IF(DataPP[GroupM Viewability 
'[% Videos Fully in View']]&lt;&gt;"NULL",
IF(DataPP[Device Type]=ColumnPP[[#This Row],[Metric]],
SUBTOTAL(9,OFFSET(DataPP[Total Impressions],ROW(DataPP[Total Impressions])-MIN(ROW(DataPP[Total Impressions])),0,1)))))</f>
        <v>#DIV/0!</v>
      </c>
      <c r="Z10" s="32" t="e">
        <f t="array" aca="1" ref="Z10" ca="1">SUM(
IF(DataPP[Publicis Viewability 
'[% Display Ads Fully in View']]&lt;&gt;"NULL",
IF(DataPP[Device Type]=ColumnPP[[#This Row],[Metric]],
DataPP[Publicis Viewability 
'[% Display Ads Fully in View']]*
SUBTOTAL(9,OFFSET(DataPP[Total Impressions],ROW(DataPP[Total Impressions])-MIN(ROW(DataPP[Total Impressions])),0,1)))))
/
SUM(
IF(DataPP[Publicis Viewability 
'[% Display Ads Fully in View']]&lt;&gt;"NULL",
IF(DataPP[Device Type]=ColumnPP[[#This Row],[Metric]],
SUBTOTAL(9,OFFSET(DataPP[Total Impressions],ROW(DataPP[Total Impressions])-MIN(ROW(DataPP[Total Impressions])),0,1)))))</f>
        <v>#DIV/0!</v>
      </c>
      <c r="AA10" s="32" t="e">
        <f t="array" aca="1" ref="AA10" ca="1">SUM(
IF(DataPP[Publicis Viewability 
'[% Videos Fully in View']]&lt;&gt;"NULL",
IF(DataPP[Device Type]=ColumnPP[[#This Row],[Metric]],
DataPP[Publicis Viewability 
'[% Videos Fully in View']]*
SUBTOTAL(9,OFFSET(DataPP[Total Impressions],ROW(DataPP[Total Impressions])-MIN(ROW(DataPP[Total Impressions])),0,1)))))
/
SUM(
IF(DataPP[Publicis Viewability 
'[% Videos Fully in View']]&lt;&gt;"NULL",
IF(DataPP[Device Type]=ColumnPP[[#This Row],[Metric]],
SUBTOTAL(9,OFFSET(DataPP[Total Impressions],ROW(DataPP[Total Impressions])-MIN(ROW(DataPP[Total Impressions])),0,1)))))</f>
        <v>#DIV/0!</v>
      </c>
    </row>
    <row r="11" spans="1:121" s="18" customFormat="1" ht="16.5" hidden="1" customHeight="1" x14ac:dyDescent="0.35">
      <c r="A11" s="235"/>
      <c r="B11" s="236"/>
      <c r="C11" s="236"/>
      <c r="D11" s="236"/>
      <c r="E11" s="59"/>
      <c r="F11" s="59"/>
      <c r="G11" s="123" t="s">
        <v>14</v>
      </c>
      <c r="H11" s="123"/>
      <c r="I11" s="27"/>
      <c r="J11" s="101" t="s">
        <v>140</v>
      </c>
      <c r="K11" s="31" t="e">
        <f t="array" aca="1" ref="K11" ca="1">SUM(
IF(DataPP[Measured Rate 
'[% Measured']]&lt;&gt;"NULL",
IF(DataPP[Partner Type]=ColumnPP[[#This Row],[Metric]],
DataPP[Measured Rate 
'[% Measured']]*
SUBTOTAL(9,OFFSET(DataPP[Total Impressions],ROW(DataPP[Total Impressions])-MIN(ROW(DataPP[Total Impressions])),0,1)))))
/
SUM(
IF(DataPP[Measured Rate 
'[% Measured']]&lt;&gt;"NULL",
IF(DataPP[Partner Type]=ColumnPP[[#This Row],[Metric]],
SUBTOTAL(9,OFFSET(DataPP[Total Impressions],ROW(DataPP[Total Impressions])-MIN(ROW(DataPP[Total Impressions])),0,1)))))</f>
        <v>#DIV/0!</v>
      </c>
      <c r="L11" s="32" t="e">
        <f t="array" aca="1" ref="L11" ca="1">SUM(
IF(DataPP[See-Through Rate 
'[% Visible']]&lt;&gt;"NULL",
IF(DataPP[Partner Type]=ColumnPP[[#This Row],[Metric]],
DataPP[See-Through Rate 
'[% Visible']]*
SUBTOTAL(9,OFFSET(DataPP[Total Impressions],ROW(DataPP[Total Impressions])-MIN(ROW(DataPP[Total Impressions])),0,1)))))
/
SUM(
IF(DataPP[See-Through Rate 
'[% Visible']]&lt;&gt;"NULL",
IF(DataPP[Partner Type]=ColumnPP[[#This Row],[Metric]],
SUBTOTAL(9,OFFSET(DataPP[Total Impressions],ROW(DataPP[Total Impressions])-MIN(ROW(DataPP[Total Impressions])),0,1)))))</f>
        <v>#DIV/0!</v>
      </c>
      <c r="M11" s="32" t="e">
        <f t="array" aca="1" ref="M11" ca="1">SUM(
IF(DataPP[Brand Safety 
'[% Passed']]&lt;&gt;"NULL",
IF(DataPP[Partner Type]=ColumnPP[[#This Row],[Metric]],
DataPP[Brand Safety 
'[% Passed']]*
SUBTOTAL(9,OFFSET(DataPP[Total Impressions],ROW(DataPP[Total Impressions])-MIN(ROW(DataPP[Total Impressions])),0,1)))))
/
SUM(
IF(DataPP[Brand Safety 
'[% Passed']]&lt;&gt;"NULL",
IF(DataPP[Partner Type]=ColumnPP[[#This Row],[Metric]],
SUBTOTAL(9,OFFSET(DataPP[Total Impressions],ROW(DataPP[Total Impressions])-MIN(ROW(DataPP[Total Impressions])),0,1)))))</f>
        <v>#DIV/0!</v>
      </c>
      <c r="N11" s="32" t="e">
        <f t="array" aca="1" ref="N11" ca="1">SUM(
IF(DataPP[Brand Safety 
'[% Failed']]&lt;&gt;"NULL",
IF(DataPP[Partner Type]=ColumnPP[[#This Row],[Metric]],
DataPP[Brand Safety 
'[% Failed']]*
SUBTOTAL(9,OFFSET(DataPP[Total Impressions],ROW(DataPP[Total Impressions])-MIN(ROW(DataPP[Total Impressions])),0,1)))))
/
SUM(
IF(DataPP[Brand Safety 
'[% Failed']]&lt;&gt;"NULL",
IF(DataPP[Partner Type]=ColumnPP[[#This Row],[Metric]],
SUBTOTAL(9,OFFSET(DataPP[Total Impressions],ROW(DataPP[Total Impressions])-MIN(ROW(DataPP[Total Impressions])),0,1)))))</f>
        <v>#DIV/0!</v>
      </c>
      <c r="O11" s="32" t="e">
        <f t="array" aca="1" ref="O11" ca="1">SUM(
IF(DataPP[Brand Safety 
'[% Failed by Content']]&lt;&gt;"NULL",
IF(DataPP[Partner Type]=ColumnPP[[#This Row],[Metric]],
DataPP[Brand Safety 
'[% Failed by Content']]*
SUBTOTAL(9,OFFSET(DataPP[Total Impressions],ROW(DataPP[Total Impressions])-MIN(ROW(DataPP[Total Impressions])),0,1)))))
/
SUM(
IF(DataPP[Brand Safety 
'[% Failed by Content']]&lt;&gt;"NULL",
IF(DataPP[Partner Type]=ColumnPP[[#This Row],[Metric]],
SUBTOTAL(9,OFFSET(DataPP[Total Impressions],ROW(DataPP[Total Impressions])-MIN(ROW(DataPP[Total Impressions])),0,1)))))</f>
        <v>#DIV/0!</v>
      </c>
      <c r="P11" s="32" t="e">
        <f t="array" aca="1" ref="P11" ca="1">SUM(
IF(DataPP[Brand Safety 
'[% Failed by Geo']]&lt;&gt;"NULL",
IF(DataPP[Partner Type]=ColumnPP[[#This Row],[Metric]],
DataPP[Brand Safety 
'[% Failed by Geo']]*
SUBTOTAL(9,OFFSET(DataPP[Total Impressions],ROW(DataPP[Total Impressions])-MIN(ROW(DataPP[Total Impressions])),0,1)))))
/
SUM(
IF(DataPP[Brand Safety 
'[% Failed by Geo']]&lt;&gt;"NULL",
IF(DataPP[Partner Type]=ColumnPP[[#This Row],[Metric]],
SUBTOTAL(9,OFFSET(DataPP[Total Impressions],ROW(DataPP[Total Impressions])-MIN(ROW(DataPP[Total Impressions])),0,1)))))</f>
        <v>#DIV/0!</v>
      </c>
      <c r="Q11" s="32" t="e">
        <f t="array" aca="1" ref="Q11" ca="1">SUM(
IF(DataPP[Brand Safety 
'[% Failed by Keyword']]&lt;&gt;"NULL",
IF(DataPP[Partner Type]=ColumnPP[[#This Row],[Metric]],
DataPP[Brand Safety 
'[% Failed by Keyword']]*
SUBTOTAL(9,OFFSET(DataPP[Total Impressions],ROW(DataPP[Total Impressions])-MIN(ROW(DataPP[Total Impressions])),0,1)))))
/
SUM(
IF(DataPP[Brand Safety 
'[% Failed by Keyword']]&lt;&gt;"NULL",
IF(DataPP[Partner Type]=ColumnPP[[#This Row],[Metric]],
SUBTOTAL(9,OFFSET(DataPP[Total Impressions],ROW(DataPP[Total Impressions])-MIN(ROW(DataPP[Total Impressions])),0,1)))))</f>
        <v>#DIV/0!</v>
      </c>
      <c r="R11" s="32" t="e">
        <f t="array" aca="1" ref="R11" ca="1">SUM(
IF(DataPP[Brand Safety 
'[% Failed by Blacklist']]&lt;&gt;"NULL",
IF(DataPP[Partner Type]=ColumnPP[[#This Row],[Metric]],
DataPP[Brand Safety 
'[% Failed by Blacklist']]*
SUBTOTAL(9,OFFSET(DataPP[Total Impressions],ROW(DataPP[Total Impressions])-MIN(ROW(DataPP[Total Impressions])),0,1)))))
/
SUM(
IF(DataPP[Brand Safety 
'[% Failed by Blacklist']]&lt;&gt;"NULL",
IF(DataPP[Partner Type]=ColumnPP[[#This Row],[Metric]],
SUBTOTAL(9,OFFSET(DataPP[Total Impressions],ROW(DataPP[Total Impressions])-MIN(ROW(DataPP[Total Impressions])),0,1)))))</f>
        <v>#DIV/0!</v>
      </c>
      <c r="S11" s="32" t="e">
        <f t="array" aca="1" ref="S11" ca="1">SUM(
IF(DataPP[Brand Safety 
'[% Failed by Language']]&lt;&gt;"NULL",
IF(DataPP[Partner Type]=ColumnPP[[#This Row],[Metric]],
DataPP[Brand Safety 
'[% Failed by Language']]*
SUBTOTAL(9,OFFSET(DataPP[Total Impressions],ROW(DataPP[Total Impressions])-MIN(ROW(DataPP[Total Impressions])),0,1)))))
/
SUM(
IF(DataPP[Brand Safety 
'[% Failed by Language']]&lt;&gt;"NULL",
IF(DataPP[Partner Type]=ColumnPP[[#This Row],[Metric]],
SUBTOTAL(9,OFFSET(DataPP[Total Impressions],ROW(DataPP[Total Impressions])-MIN(ROW(DataPP[Total Impressions])),0,1)))))</f>
        <v>#DIV/0!</v>
      </c>
      <c r="T11" s="32" t="e">
        <f t="array" aca="1" ref="T11" ca="1">SUM(
IF(DataPP[Fraud 
'[% Fraud']]&lt;&gt;"NULL",
IF(DataPP[Partner Type]=ColumnPP[[#This Row],[Metric]],
DataPP[Fraud 
'[% Fraud']]*
SUBTOTAL(9,OFFSET(DataPP[Total Impressions],ROW(DataPP[Total Impressions])-MIN(ROW(DataPP[Total Impressions])),0,1)))))
/
SUM(
IF(DataPP[Fraud 
'[% Fraud']]&lt;&gt;"NULL",
IF(DataPP[Partner Type]=ColumnPP[[#This Row],[Metric]],
SUBTOTAL(9,OFFSET(DataPP[Total Impressions],ROW(DataPP[Total Impressions])-MIN(ROW(DataPP[Total Impressions])),0,1)))))</f>
        <v>#DIV/0!</v>
      </c>
      <c r="U11" s="32" t="e">
        <f t="array" aca="1" ref="U11" ca="1">SUM(
IF(DataPP[Viewability 
'[Total Viewable Rate (Total Net Metrics)']]&lt;&gt;"NULL",
IF(DataPP[Partner Type]=ColumnPP[[#This Row],[Metric]],
DataPP[Viewability 
'[Total Viewable Rate (Total Net Metrics)']]*
SUBTOTAL(9,OFFSET(DataPP[Total Impressions],ROW(DataPP[Total Impressions])-MIN(ROW(DataPP[Total Impressions])),0,1)))))
/
SUM(
IF(DataPP[Viewability 
'[Total Viewable Rate (Total Net Metrics)']]&lt;&gt;"NULL",
IF(DataPP[Partner Type]=ColumnPP[[#This Row],[Metric]],
SUBTOTAL(9,OFFSET(DataPP[Total Impressions],ROW(DataPP[Total Impressions])-MIN(ROW(DataPP[Total Impressions])),0,1)))))</f>
        <v>#DIV/0!</v>
      </c>
      <c r="V11" s="32" t="e">
        <f t="array" aca="1" ref="V11" ca="1">SUM(
IF(DataPP[Display Viewability 
'[Total Viewable Rate (Total Net Metrics)']]&lt;&gt;"NULL",
IF(DataPP[Partner Type]=ColumnPP[[#This Row],[Metric]],
DataPP[Display Viewability 
'[Total Viewable Rate (Total Net Metrics)']]*
SUBTOTAL(9,OFFSET(DataPP[Total Impressions],ROW(DataPP[Total Impressions])-MIN(ROW(DataPP[Total Impressions])),0,1)))))
/
SUM(
IF(DataPP[Display Viewability 
'[Total Viewable Rate (Total Net Metrics)']]&lt;&gt;"NULL",
IF(DataPP[Partner Type]=ColumnPP[[#This Row],[Metric]],
SUBTOTAL(9,OFFSET(DataPP[Total Impressions],ROW(DataPP[Total Impressions])-MIN(ROW(DataPP[Total Impressions])),0,1)))))</f>
        <v>#DIV/0!</v>
      </c>
      <c r="W11" s="32" t="e">
        <f t="array" aca="1" ref="W11" ca="1">SUM(
IF(DataPP[Video Viewability 
'[Total Viewable Rate (Total Net Metrics)']]&lt;&gt;"NULL",
IF(DataPP[Partner Type]=ColumnPP[[#This Row],[Metric]],
DataPP[Video Viewability 
'[Total Viewable Rate (Total Net Metrics)']]*
SUBTOTAL(9,OFFSET(DataPP[Total Impressions],ROW(DataPP[Total Impressions])-MIN(ROW(DataPP[Total Impressions])),0,1)))))
/
SUM(
IF(DataPP[Video Viewability 
'[Total Viewable Rate (Total Net Metrics)']]&lt;&gt;"NULL",
IF(DataPP[Partner Type]=ColumnPP[[#This Row],[Metric]],
SUBTOTAL(9,OFFSET(DataPP[Total Impressions],ROW(DataPP[Total Impressions])-MIN(ROW(DataPP[Total Impressions])),0,1)))))</f>
        <v>#DIV/0!</v>
      </c>
      <c r="X11" s="32" t="e">
        <f t="array" aca="1" ref="X11" ca="1">SUM(
IF(DataPP[GroupM Viewability 
'[% Display Ads Fully in View']]&lt;&gt;"NULL",
IF(DataPP[Partner Type]=ColumnPP[[#This Row],[Metric]],
DataPP[GroupM Viewability 
'[% Display Ads Fully in View']]*
SUBTOTAL(9,OFFSET(DataPP[Total Impressions],ROW(DataPP[Total Impressions])-MIN(ROW(DataPP[Total Impressions])),0,1)))))
/
SUM(
IF(DataPP[GroupM Viewability 
'[% Display Ads Fully in View']]&lt;&gt;"NULL",
IF(DataPP[Partner Type]=ColumnPP[[#This Row],[Metric]],
SUBTOTAL(9,OFFSET(DataPP[Total Impressions],ROW(DataPP[Total Impressions])-MIN(ROW(DataPP[Total Impressions])),0,1)))))</f>
        <v>#DIV/0!</v>
      </c>
      <c r="Y11" s="32" t="e">
        <f t="array" aca="1" ref="Y11" ca="1">SUM(
IF(DataPP[GroupM Viewability 
'[% Videos Fully in View']]&lt;&gt;"NULL",
IF(DataPP[Partner Type]=ColumnPP[[#This Row],[Metric]],
DataPP[GroupM Viewability 
'[% Videos Fully in View']]*
SUBTOTAL(9,OFFSET(DataPP[Total Impressions],ROW(DataPP[Total Impressions])-MIN(ROW(DataPP[Total Impressions])),0,1)))))
/
SUM(
IF(DataPP[GroupM Viewability 
'[% Videos Fully in View']]&lt;&gt;"NULL",
IF(DataPP[Partner Type]=ColumnPP[[#This Row],[Metric]],
SUBTOTAL(9,OFFSET(DataPP[Total Impressions],ROW(DataPP[Total Impressions])-MIN(ROW(DataPP[Total Impressions])),0,1)))))</f>
        <v>#DIV/0!</v>
      </c>
      <c r="Z11" s="32" t="e">
        <f t="array" aca="1" ref="Z11" ca="1">SUM(
IF(DataPP[Publicis Viewability 
'[% Display Ads Fully in View']]&lt;&gt;"NULL",
IF(DataPP[Partner Type]=ColumnPP[[#This Row],[Metric]],
DataPP[Publicis Viewability 
'[% Display Ads Fully in View']]*
SUBTOTAL(9,OFFSET(DataPP[Total Impressions],ROW(DataPP[Total Impressions])-MIN(ROW(DataPP[Total Impressions])),0,1)))))
/
SUM(
IF(DataPP[Publicis Viewability 
'[% Display Ads Fully in View']]&lt;&gt;"NULL",
IF(DataPP[Partner Type]=ColumnPP[[#This Row],[Metric]],
SUBTOTAL(9,OFFSET(DataPP[Total Impressions],ROW(DataPP[Total Impressions])-MIN(ROW(DataPP[Total Impressions])),0,1)))))</f>
        <v>#DIV/0!</v>
      </c>
      <c r="AA11" s="32" t="e">
        <f t="array" aca="1" ref="AA11" ca="1">SUM(
IF(DataPP[Publicis Viewability 
'[% Videos Fully in View']]&lt;&gt;"NULL",
IF(DataPP[Partner Type]=ColumnPP[[#This Row],[Metric]],
DataPP[Publicis Viewability 
'[% Videos Fully in View']]*
SUBTOTAL(9,OFFSET(DataPP[Total Impressions],ROW(DataPP[Total Impressions])-MIN(ROW(DataPP[Total Impressions])),0,1)))))
/
SUM(
IF(DataPP[Publicis Viewability 
'[% Videos Fully in View']]&lt;&gt;"NULL",
IF(DataPP[Partner Type]=ColumnPP[[#This Row],[Metric]],
SUBTOTAL(9,OFFSET(DataPP[Total Impressions],ROW(DataPP[Total Impressions])-MIN(ROW(DataPP[Total Impressions])),0,1)))))</f>
        <v>#DIV/0!</v>
      </c>
    </row>
    <row r="12" spans="1:121" s="18" customFormat="1" ht="16.5" hidden="1" customHeight="1" x14ac:dyDescent="0.35">
      <c r="A12" s="233"/>
      <c r="B12" s="234"/>
      <c r="C12" s="234"/>
      <c r="D12" s="234"/>
      <c r="E12" s="60"/>
      <c r="F12" s="60"/>
      <c r="G12" s="239" t="s">
        <v>8</v>
      </c>
      <c r="H12" s="239"/>
      <c r="I12" s="27"/>
      <c r="J12" s="102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</row>
    <row r="13" spans="1:121" s="18" customFormat="1" ht="15.75" hidden="1" customHeight="1" x14ac:dyDescent="0.35">
      <c r="A13" s="22"/>
      <c r="B13" s="33"/>
      <c r="C13" s="33"/>
      <c r="D13" s="33"/>
      <c r="E13" s="63"/>
      <c r="F13" s="63"/>
      <c r="G13" s="239" t="s">
        <v>8</v>
      </c>
      <c r="H13" s="239"/>
      <c r="I13" s="27"/>
      <c r="J13" s="106" t="s">
        <v>6</v>
      </c>
      <c r="K13" s="107">
        <v>0</v>
      </c>
      <c r="L13" s="107">
        <v>0</v>
      </c>
      <c r="M13" s="107">
        <v>0</v>
      </c>
      <c r="N13" s="107">
        <v>0</v>
      </c>
      <c r="O13" s="107">
        <v>0</v>
      </c>
      <c r="P13" s="107">
        <v>0</v>
      </c>
      <c r="Q13" s="107">
        <v>1</v>
      </c>
      <c r="R13" s="107">
        <v>0</v>
      </c>
      <c r="S13" s="107">
        <v>0</v>
      </c>
      <c r="T13" s="107">
        <v>0</v>
      </c>
      <c r="U13" s="107">
        <v>0</v>
      </c>
      <c r="V13" s="107">
        <v>0</v>
      </c>
      <c r="W13" s="107">
        <v>0</v>
      </c>
      <c r="X13" s="107">
        <v>0</v>
      </c>
      <c r="Y13" s="107">
        <v>0</v>
      </c>
      <c r="Z13" s="107">
        <v>0</v>
      </c>
      <c r="AA13" s="107">
        <v>0</v>
      </c>
    </row>
    <row r="14" spans="1:121" s="18" customFormat="1" ht="15.75" customHeight="1" thickBot="1" x14ac:dyDescent="0.4">
      <c r="B14" s="35"/>
      <c r="C14" s="22"/>
      <c r="D14" s="22"/>
      <c r="E14" s="55"/>
      <c r="F14" s="55"/>
      <c r="G14" s="13" t="s">
        <v>21</v>
      </c>
      <c r="H14" s="35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146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tr">
        <f>IFERROR(
IF(DataT[[#Headers],[Region (Team)]]="Brand",VLOOKUP(DataPP[[#This Row],[Campaign]],Map_Campaign[],2,0),
IF(DataT[[#Headers],[Region (Team)]]="Region (Team)",VLOOKUP(DataPP[[#This Row],[Team]],Map_Team[],2,0),
IF(DataT[[#Headers],[Region (Team)]]="Region (Campaign)",VLOOKUP(DataPP[[#This Row],[Campaign]],Map_Campaign[],3,0),
IF(DataT[[#Headers],[Region (Team)]]="Partner Type",VLOOKUP(DataPP[[#This Row],[Partner]],Map_Partner[],2,0),
IF(DataT[[#Headers],[Region (Team)]]="Device Type",VLOOKUP(DataPP[[#This Row],[Placement]],Map_Placement[],3,0),
IF(DataT[[#Headers],[Region (Team)]]="Creative Size",VLOOKUP(DataPP[[#This Row],[Placement]],Map_Placement[],2,0),"Not a mapping option.")))))),
"[Unmapped]")</f>
        <v>[Unmapped]</v>
      </c>
      <c r="C16" s="45" t="s">
        <v>10</v>
      </c>
      <c r="D16" s="46" t="s">
        <v>10</v>
      </c>
      <c r="E16" s="46" t="s">
        <v>142</v>
      </c>
      <c r="F16" s="46" t="s">
        <v>145</v>
      </c>
      <c r="G16" s="46" t="s">
        <v>10</v>
      </c>
      <c r="H16" s="46" t="s">
        <v>124</v>
      </c>
      <c r="I16" s="47">
        <v>292953764</v>
      </c>
      <c r="J16" s="48">
        <v>450881961</v>
      </c>
      <c r="K16" s="49">
        <v>0.7</v>
      </c>
      <c r="L16" s="49">
        <v>0.98</v>
      </c>
      <c r="M16" s="49">
        <v>0.95</v>
      </c>
      <c r="N16" s="49">
        <v>0.05</v>
      </c>
      <c r="O16" s="49">
        <v>0.02</v>
      </c>
      <c r="P16" s="49">
        <v>0.02</v>
      </c>
      <c r="Q16" s="49">
        <v>0.01</v>
      </c>
      <c r="R16" s="49">
        <v>0.01</v>
      </c>
      <c r="S16" s="49">
        <v>0.01</v>
      </c>
      <c r="T16" s="49">
        <v>0.03</v>
      </c>
      <c r="U16" s="49">
        <v>0.55000000000000004</v>
      </c>
      <c r="V16" s="49">
        <v>0.6</v>
      </c>
      <c r="W16" s="49">
        <v>0.5</v>
      </c>
      <c r="X16" s="49">
        <v>0.35</v>
      </c>
      <c r="Y16" s="49">
        <v>0.25</v>
      </c>
      <c r="Z16" s="49">
        <v>0.35</v>
      </c>
      <c r="AA16" s="49">
        <v>0.25</v>
      </c>
    </row>
    <row r="21" spans="6:7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11">
    <mergeCell ref="G6:H6"/>
    <mergeCell ref="G7:H7"/>
    <mergeCell ref="G8:H8"/>
    <mergeCell ref="E6:F6"/>
    <mergeCell ref="E8:F8"/>
    <mergeCell ref="A12:D12"/>
    <mergeCell ref="G12:H12"/>
    <mergeCell ref="G13:H13"/>
    <mergeCell ref="B9:F9"/>
    <mergeCell ref="A10:D10"/>
    <mergeCell ref="A11:D11"/>
  </mergeCells>
  <conditionalFormatting sqref="K16:AA16">
    <cfRule type="cellIs" dxfId="310" priority="10" operator="equal">
      <formula>""</formula>
    </cfRule>
  </conditionalFormatting>
  <conditionalFormatting sqref="A6:E8 A1:XFD5 A9:G9 G6:XFD6 F7:J7 G8:XFD8 I9:XFD9 A10:XFD1048576 AB7:XFD7">
    <cfRule type="expression" dxfId="309" priority="9">
      <formula>ISERROR(A1)</formula>
    </cfRule>
  </conditionalFormatting>
  <conditionalFormatting sqref="K16:AA16 K9:AA11">
    <cfRule type="expression" dxfId="308" priority="12">
      <formula>IF(K$7="N/A",0,IF(K$7="Above",K9&lt;=(1-$J$4)*K$8,K9&gt;=(1+$J$4)*K$8))</formula>
    </cfRule>
    <cfRule type="expression" dxfId="307" priority="13">
      <formula>IF(OR(K$7="N/A",K9=0),0,IF(K$7="Above",K9&gt;=(1+$J$3)*K$8,K9&lt;=(1-$J$3)*K$8))</formula>
    </cfRule>
  </conditionalFormatting>
  <conditionalFormatting sqref="H9">
    <cfRule type="expression" dxfId="306" priority="2">
      <formula>ISERROR(H9)</formula>
    </cfRule>
  </conditionalFormatting>
  <conditionalFormatting sqref="K7:AA7">
    <cfRule type="expression" dxfId="305" priority="1">
      <formula>ISERROR(K7)</formula>
    </cfRule>
  </conditionalFormatting>
  <dataValidations count="8">
    <dataValidation allowBlank="1" showInputMessage="1" showErrorMessage="1" errorTitle="Invalid Entry" error="Please select/enter a value from 1 to 5 from the dropdown." sqref="K10:AA11 J11 G9:G11 J9 AB12:XFD13 A13:D13 H9" xr:uid="{00000000-0002-0000-0400-000000000000}"/>
    <dataValidation type="list" allowBlank="1" showInputMessage="1" showErrorMessage="1" errorTitle="Invalid Entry" error="Please select/enter a value from 1 to 5 from the dropdown." sqref="J10" xr:uid="{00000000-0002-0000-04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400-000002000000}">
      <formula1>"0,1,2,3,4,5"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400-000004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400-000005000000}"/>
    <dataValidation allowBlank="1" showInputMessage="1" showErrorMessage="1" prompt="Cell will highlight red if performance deviates by more than this percentage of the client goal." sqref="J4" xr:uid="{00000000-0002-0000-0400-000006000000}"/>
    <dataValidation type="list" allowBlank="1" showInputMessage="1" showErrorMessage="1" sqref="B15" xr:uid="{00000000-0002-0000-0400-000007000000}">
      <formula1>"Partner Type, Creative Size, Device Type"</formula1>
    </dataValidation>
    <dataValidation type="list" allowBlank="1" showInputMessage="1" showErrorMessage="1" sqref="X27" xr:uid="{00000000-0002-0000-0400-000003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" operator="containsText" id="{AC1F70AB-DD8E-4FEC-9F1A-D4FCE42083F0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44.26953125" style="50" customWidth="1"/>
    <col min="4" max="6" width="30.54296875" style="50" hidden="1" customWidth="1"/>
    <col min="7" max="7" width="21.7265625" style="50" customWidth="1"/>
    <col min="8" max="8" width="20.54296875" style="50" hidden="1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3" t="s">
        <v>21</v>
      </c>
      <c r="C1" s="91"/>
      <c r="D1" s="13" t="s">
        <v>21</v>
      </c>
      <c r="E1" s="13" t="s">
        <v>21</v>
      </c>
      <c r="F1" s="13" t="s">
        <v>21</v>
      </c>
      <c r="G1" s="52"/>
      <c r="H1" s="13" t="s">
        <v>21</v>
      </c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6"/>
      <c r="C2" s="92"/>
      <c r="D2" s="16"/>
      <c r="E2" s="16"/>
      <c r="F2" s="16"/>
      <c r="G2" s="52"/>
      <c r="H2" s="16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6"/>
      <c r="C3" s="92"/>
      <c r="D3" s="16"/>
      <c r="E3" s="16"/>
      <c r="F3" s="16"/>
      <c r="G3" s="52"/>
      <c r="H3" s="16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6"/>
      <c r="C4" s="92"/>
      <c r="D4" s="16"/>
      <c r="E4" s="16"/>
      <c r="F4" s="16"/>
      <c r="G4" s="52"/>
      <c r="H4" s="16"/>
      <c r="I4" s="16"/>
      <c r="J4" s="77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6"/>
      <c r="C5" s="92"/>
      <c r="D5" s="16"/>
      <c r="E5" s="16"/>
      <c r="F5" s="16"/>
      <c r="G5" s="52"/>
      <c r="H5" s="16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6" t="s">
        <v>155</v>
      </c>
      <c r="C6" s="93" t="s">
        <v>155</v>
      </c>
      <c r="D6" s="70" t="s">
        <v>155</v>
      </c>
      <c r="E6" s="70"/>
      <c r="F6" s="70"/>
      <c r="G6" s="242" t="s">
        <v>133</v>
      </c>
      <c r="H6" s="243"/>
      <c r="I6" s="244"/>
      <c r="J6" s="2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AB6" s="26"/>
    </row>
    <row r="7" spans="1:121" s="18" customFormat="1" ht="15" hidden="1" customHeight="1" thickBot="1" x14ac:dyDescent="0.4">
      <c r="A7" s="27"/>
      <c r="B7" s="28"/>
      <c r="C7" s="94"/>
      <c r="D7" s="28"/>
      <c r="E7" s="28"/>
      <c r="F7" s="28"/>
      <c r="G7" s="245" t="s">
        <v>132</v>
      </c>
      <c r="H7" s="246"/>
      <c r="I7" s="247"/>
      <c r="J7" s="54" t="s">
        <v>0</v>
      </c>
      <c r="K7" s="155" t="s">
        <v>2</v>
      </c>
      <c r="L7" s="155" t="s">
        <v>2</v>
      </c>
      <c r="M7" s="156" t="s">
        <v>2</v>
      </c>
      <c r="N7" s="156" t="s">
        <v>3</v>
      </c>
      <c r="O7" s="156" t="s">
        <v>3</v>
      </c>
      <c r="P7" s="156" t="s">
        <v>3</v>
      </c>
      <c r="Q7" s="29" t="s">
        <v>3</v>
      </c>
      <c r="R7" s="155" t="s">
        <v>3</v>
      </c>
      <c r="S7" s="155" t="s">
        <v>3</v>
      </c>
      <c r="T7" s="155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5" t="s">
        <v>2</v>
      </c>
      <c r="AA7" s="155" t="s">
        <v>2</v>
      </c>
      <c r="AB7" s="26"/>
    </row>
    <row r="8" spans="1:121" s="18" customFormat="1" ht="15.65" customHeight="1" x14ac:dyDescent="0.35">
      <c r="A8" s="22"/>
      <c r="B8" s="70"/>
      <c r="C8" s="95" t="str">
        <f ca="1">MID(CELL("filename",A1),FIND("]",CELL("filename",A1))+1,255)&amp;" Level Scorecard"</f>
        <v>Device Level Scorecard</v>
      </c>
      <c r="D8" s="70"/>
      <c r="E8" s="70"/>
      <c r="F8" s="70"/>
      <c r="G8" s="240" t="s">
        <v>132</v>
      </c>
      <c r="H8" s="241"/>
      <c r="I8" s="248"/>
      <c r="J8" s="126" t="s">
        <v>16</v>
      </c>
      <c r="K8" s="127">
        <f>VLOOKUP(K6,Benchmark_Legend[],MATCH(ColumnD[[#This Row],[Metric]],Benchmark_Legend[#Headers],0),0)</f>
        <v>0.7</v>
      </c>
      <c r="L8" s="127">
        <f>VLOOKUP(L6,Benchmark_Legend[],MATCH(ColumnD[[#This Row],[Metric]],Benchmark_Legend[#Headers],0),0)</f>
        <v>0.98</v>
      </c>
      <c r="M8" s="127">
        <f>VLOOKUP(M6,Benchmark_Legend[],MATCH(ColumnD[[#This Row],[Metric]],Benchmark_Legend[#Headers],0),0)</f>
        <v>0.95</v>
      </c>
      <c r="N8" s="127">
        <f>VLOOKUP(N6,Benchmark_Legend[],MATCH(ColumnD[[#This Row],[Metric]],Benchmark_Legend[#Headers],0),0)</f>
        <v>0.05</v>
      </c>
      <c r="O8" s="127">
        <f>VLOOKUP(O6,Benchmark_Legend[],MATCH(ColumnD[[#This Row],[Metric]],Benchmark_Legend[#Headers],0),0)</f>
        <v>0.02</v>
      </c>
      <c r="P8" s="127">
        <f>VLOOKUP(P6,Benchmark_Legend[],MATCH(ColumnD[[#This Row],[Metric]],Benchmark_Legend[#Headers],0),0)</f>
        <v>0.02</v>
      </c>
      <c r="Q8" s="127">
        <f>VLOOKUP(Q6,Benchmark_Legend[],MATCH(ColumnD[[#This Row],[Metric]],Benchmark_Legend[#Headers],0),0)</f>
        <v>0.01</v>
      </c>
      <c r="R8" s="127">
        <f>VLOOKUP(R6,Benchmark_Legend[],MATCH(ColumnD[[#This Row],[Metric]],Benchmark_Legend[#Headers],0),0)</f>
        <v>0.01</v>
      </c>
      <c r="S8" s="127">
        <f>VLOOKUP(S6,Benchmark_Legend[],MATCH(ColumnD[[#This Row],[Metric]],Benchmark_Legend[#Headers],0),0)</f>
        <v>0.01</v>
      </c>
      <c r="T8" s="127">
        <f>VLOOKUP(T6,Benchmark_Legend[],MATCH(ColumnD[[#This Row],[Metric]],Benchmark_Legend[#Headers],0),0)</f>
        <v>0.03</v>
      </c>
      <c r="U8" s="127">
        <f>VLOOKUP(U6,Benchmark_Legend[],MATCH(ColumnD[[#This Row],[Metric]],Benchmark_Legend[#Headers],0),0)</f>
        <v>0.55000000000000004</v>
      </c>
      <c r="V8" s="127">
        <f>VLOOKUP(V6,Benchmark_Legend[],MATCH(ColumnD[[#This Row],[Metric]],Benchmark_Legend[#Headers],0),0)</f>
        <v>0.6</v>
      </c>
      <c r="W8" s="127">
        <f>VLOOKUP(W6,Benchmark_Legend[],MATCH(ColumnD[[#This Row],[Metric]],Benchmark_Legend[#Headers],0),0)</f>
        <v>0.5</v>
      </c>
      <c r="X8" s="127">
        <f>VLOOKUP(X6,Benchmark_Legend[],MATCH(ColumnD[[#This Row],[Metric]],Benchmark_Legend[#Headers],0),0)</f>
        <v>0.35</v>
      </c>
      <c r="Y8" s="127">
        <f>VLOOKUP(Y6,Benchmark_Legend[],MATCH(ColumnD[[#This Row],[Metric]],Benchmark_Legend[#Headers],0),0)</f>
        <v>0.25</v>
      </c>
      <c r="Z8" s="127">
        <f>VLOOKUP(Z6,Benchmark_Legend[],MATCH(ColumnD[[#This Row],[Metric]],Benchmark_Legend[#Headers],0),0)</f>
        <v>0.35</v>
      </c>
      <c r="AA8" s="127">
        <f>VLOOKUP(AA6,Benchmark_Legend[],MATCH(ColumnD[[#This Row],[Metric]],Benchmark_Legend[#Headers],0),0)</f>
        <v>0.25</v>
      </c>
      <c r="AB8" s="26"/>
    </row>
    <row r="9" spans="1:121" s="18" customFormat="1" ht="15.65" customHeight="1" thickBot="1" x14ac:dyDescent="0.4">
      <c r="A9" s="82" t="e">
        <f>RIGHT(#REF!,7)</f>
        <v>#REF!</v>
      </c>
      <c r="B9" s="68" t="s">
        <v>154</v>
      </c>
      <c r="C9" s="129" t="s">
        <v>154</v>
      </c>
      <c r="D9" s="68"/>
      <c r="E9" s="68"/>
      <c r="F9" s="68"/>
      <c r="G9" s="120" t="s">
        <v>14</v>
      </c>
      <c r="H9" s="121"/>
      <c r="I9" s="122"/>
      <c r="J9" s="112" t="s">
        <v>130</v>
      </c>
      <c r="K9" s="99">
        <f t="array" aca="1" ref="K9" ca="1">SUM(
IF((DataD[Measured Rate 
'[% Measured']]&lt;&gt;"NULL"),
DataD[Measured Rate 
'[% Measured']]*
SUBTOTAL(9,OFFSET(DataD[Total Impressions],ROW(DataD[Total Impressions])-MIN(ROW(DataD[Total Impressions])),0,1))))
/
SUM(
IF((DataD[Measured Rate 
'[% Measured']]&lt;&gt;"NULL"),
SUBTOTAL(9,OFFSET(DataD[Total Impressions],ROW(DataD[Total Impressions])-MIN(ROW(DataD[Total Impressions])),0,1))))</f>
        <v>0.7</v>
      </c>
      <c r="L9" s="99">
        <f t="array" aca="1" ref="L9" ca="1">SUM(
IF((DataD[See-Through Rate 
'[% Visible']]&lt;&gt;"NULL"),
DataD[See-Through Rate 
'[% Visible']]*
SUBTOTAL(9,OFFSET(DataD[Total Impressions],ROW(DataD[Total Impressions])-MIN(ROW(DataD[Total Impressions])),0,1))))
/
SUM(
IF((DataD[See-Through Rate 
'[% Visible']]&lt;&gt;"NULL"),
SUBTOTAL(9,OFFSET(DataD[Total Impressions],ROW(DataD[Total Impressions])-MIN(ROW(DataD[Total Impressions])),0,1))))</f>
        <v>0.98</v>
      </c>
      <c r="M9" s="111">
        <f t="array" aca="1" ref="M9" ca="1">SUM(
IF((DataD[Brand Safety 
'[% Passed']]&lt;&gt;"NULL"),
DataD[Brand Safety 
'[% Passed']]*
SUBTOTAL(9,OFFSET(DataD[Total Impressions],ROW(DataD[Total Impressions])-MIN(ROW(DataD[Total Impressions])),0,1))))
/
SUM(
IF((DataD[Brand Safety 
'[% Passed']]&lt;&gt;"NULL"),
SUBTOTAL(9,OFFSET(DataD[Total Impressions],ROW(DataD[Total Impressions])-MIN(ROW(DataD[Total Impressions])),0,1))))</f>
        <v>0.95</v>
      </c>
      <c r="N9" s="111">
        <f t="array" aca="1" ref="N9" ca="1">SUM(
IF((DataD[Brand Safety 
'[% Failed']]&lt;&gt;"NULL"),
DataD[Brand Safety 
'[% Failed']]*
SUBTOTAL(9,OFFSET(DataD[Total Impressions],ROW(DataD[Total Impressions])-MIN(ROW(DataD[Total Impressions])),0,1))))
/
SUM(
IF((DataD[Brand Safety 
'[% Failed']]&lt;&gt;"NULL"),
SUBTOTAL(9,OFFSET(DataD[Total Impressions],ROW(DataD[Total Impressions])-MIN(ROW(DataD[Total Impressions])),0,1))))</f>
        <v>0.05</v>
      </c>
      <c r="O9" s="111">
        <f t="array" aca="1" ref="O9" ca="1">SUM(
IF((DataD[Brand Safety 
'[% Failed by Content']]&lt;&gt;"NULL"),
DataD[Brand Safety 
'[% Failed by Content']]*
SUBTOTAL(9,OFFSET(DataD[Total Impressions],ROW(DataD[Total Impressions])-MIN(ROW(DataD[Total Impressions])),0,1))))
/
SUM(
IF((DataD[Brand Safety 
'[% Failed by Content']]&lt;&gt;"NULL"),
SUBTOTAL(9,OFFSET(DataD[Total Impressions],ROW(DataD[Total Impressions])-MIN(ROW(DataD[Total Impressions])),0,1))))</f>
        <v>0.02</v>
      </c>
      <c r="P9" s="111">
        <f t="array" aca="1" ref="P9" ca="1">SUM(
IF((DataD[Brand Safety 
'[% Failed by Geo']]&lt;&gt;"NULL"),
DataD[Brand Safety 
'[% Failed by Geo']]*
SUBTOTAL(9,OFFSET(DataD[Total Impressions],ROW(DataD[Total Impressions])-MIN(ROW(DataD[Total Impressions])),0,1))))
/
SUM(
IF((DataD[Brand Safety 
'[% Failed by Geo']]&lt;&gt;"NULL"),
SUBTOTAL(9,OFFSET(DataD[Total Impressions],ROW(DataD[Total Impressions])-MIN(ROW(DataD[Total Impressions])),0,1))))</f>
        <v>0.02</v>
      </c>
      <c r="Q9" s="99">
        <f t="array" aca="1" ref="Q9" ca="1">SUM(
IF((DataD[Brand Safety 
'[% Failed by Keyword']]&lt;&gt;"NULL"),
DataD[Brand Safety 
'[% Failed by Keyword']]*
SUBTOTAL(9,OFFSET(DataD[Total Impressions],ROW(DataD[Total Impressions])-MIN(ROW(DataD[Total Impressions])),0,1))))
/
SUM(
IF((DataD[Brand Safety 
'[% Failed by Keyword']]&lt;&gt;"NULL"),
SUBTOTAL(9,OFFSET(DataD[Total Impressions],ROW(DataD[Total Impressions])-MIN(ROW(DataD[Total Impressions])),0,1))))</f>
        <v>0.01</v>
      </c>
      <c r="R9" s="99">
        <f t="array" aca="1" ref="R9" ca="1">SUM(
IF((DataD[Brand Safety 
'[% Failed by Blacklist']]&lt;&gt;"NULL"),
DataD[Brand Safety 
'[% Failed by Blacklist']]*
SUBTOTAL(9,OFFSET(DataD[Total Impressions],ROW(DataD[Total Impressions])-MIN(ROW(DataD[Total Impressions])),0,1))))
/
SUM(
IF((DataD[Brand Safety 
'[% Failed by Blacklist']]&lt;&gt;"NULL"),
SUBTOTAL(9,OFFSET(DataD[Total Impressions],ROW(DataD[Total Impressions])-MIN(ROW(DataD[Total Impressions])),0,1))))</f>
        <v>0.01</v>
      </c>
      <c r="S9" s="99">
        <f t="array" aca="1" ref="S9" ca="1">SUM(
IF((DataD[Brand Safety 
'[% Failed by Language']]&lt;&gt;"NULL"),
DataD[Brand Safety 
'[% Failed by Language']]*
SUBTOTAL(9,OFFSET(DataD[Total Impressions],ROW(DataD[Total Impressions])-MIN(ROW(DataD[Total Impressions])),0,1))))
/
SUM(
IF((DataD[Brand Safety 
'[% Failed by Language']]&lt;&gt;"NULL"),
SUBTOTAL(9,OFFSET(DataD[Total Impressions],ROW(DataD[Total Impressions])-MIN(ROW(DataD[Total Impressions])),0,1))))</f>
        <v>0.01</v>
      </c>
      <c r="T9" s="99">
        <f t="array" aca="1" ref="T9" ca="1">SUM(
IF((DataD[Fraud 
'[% Fraud']]&lt;&gt;"NULL"),
DataD[Fraud 
'[% Fraud']]*
SUBTOTAL(9,OFFSET(DataD[Total Impressions],ROW(DataD[Total Impressions])-MIN(ROW(DataD[Total Impressions])),0,1))))
/
SUM(
IF((DataD[Fraud 
'[% Fraud']]&lt;&gt;"NULL"),
SUBTOTAL(9,OFFSET(DataD[Total Impressions],ROW(DataD[Total Impressions])-MIN(ROW(DataD[Total Impressions])),0,1))))</f>
        <v>0.03</v>
      </c>
      <c r="U9" s="99">
        <f t="array" aca="1" ref="U9" ca="1">SUM(
IF((DataD[Viewability 
'[Total Viewable Rate (Total Net Metrics)']]&lt;&gt;"NULL"),
DataD[Viewability 
'[Total Viewable Rate (Total Net Metrics)']]*SUBTOTAL(9,OFFSET(DataD[Measured Impressions],ROW(DataD[Measured Impressions])-MIN(ROW(DataD[Measured Impressions])),0,1))))
/
SUM(
IF((DataD[Viewability 
'[Total Viewable Rate (Total Net Metrics)']]&lt;&gt;"NULL"),
SUBTOTAL(9,OFFSET(DataD[Measured Impressions],ROW(DataD[Measured Impressions])-MIN(ROW(DataD[Measured Impressions])),0,1))))</f>
        <v>0.55000000000000004</v>
      </c>
      <c r="V9" s="99">
        <f t="array" aca="1" ref="V9" ca="1">SUM(
IF((DataD[Display Viewability 
'[Total Viewable Rate (Total Net Metrics)']]&lt;&gt;"NULL"),
DataD[Display Viewability 
'[Total Viewable Rate (Total Net Metrics)']]*SUBTOTAL(9,OFFSET(DataD[Measured Impressions],ROW(DataD[Measured Impressions])-MIN(ROW(DataD[Measured Impressions])),0,1))))
/
SUM(
IF((DataD[Display Viewability 
'[Total Viewable Rate (Total Net Metrics)']]&lt;&gt;"NULL"),
SUBTOTAL(9,OFFSET(DataD[Measured Impressions],ROW(DataD[Measured Impressions])-MIN(ROW(DataD[Measured Impressions])),0,1))))</f>
        <v>0.6</v>
      </c>
      <c r="W9" s="111">
        <f t="array" aca="1" ref="W9" ca="1">SUM(
IF((DataD[Video Viewability 
'[Total Viewable Rate (Total Net Metrics)']]&lt;&gt;"NULL"),
DataD[Video Viewability 
'[Total Viewable Rate (Total Net Metrics)']]*SUBTOTAL(9,OFFSET(DataD[Measured Impressions],ROW(DataD[Measured Impressions])-MIN(ROW(DataD[Measured Impressions])),0,1))))
/
SUM(
IF((DataD[Video Viewability 
'[Total Viewable Rate (Total Net Metrics)']]&lt;&gt;"NULL"),
SUBTOTAL(9,OFFSET(DataD[Measured Impressions],ROW(DataD[Measured Impressions])-MIN(ROW(DataD[Measured Impressions])),0,1))))</f>
        <v>0.5</v>
      </c>
      <c r="X9" s="99">
        <f t="array" aca="1" ref="X9" ca="1">SUM(
IF((DataD[GroupM Viewability 
'[% Display Ads Fully in View']]&lt;&gt;"NULL"),
DataD[GroupM Viewability 
'[% Display Ads Fully in View']]*SUBTOTAL(9,OFFSET(DataD[Measured Impressions],ROW(DataD[Measured Impressions])-MIN(ROW(DataD[Measured Impressions])),0,1))))
/
SUM(
IF((DataD[GroupM Viewability 
'[% Display Ads Fully in View']]&lt;&gt;"NULL"),
SUBTOTAL(9,OFFSET(DataD[Measured Impressions],ROW(DataD[Measured Impressions])-MIN(ROW(DataD[Measured Impressions])),0,1))))</f>
        <v>0.35</v>
      </c>
      <c r="Y9" s="111">
        <f t="array" aca="1" ref="Y9" ca="1">SUM(
IF((DataD[GroupM Viewability 
'[% Videos Fully in View']]&lt;&gt;"NULL"),
DataD[GroupM Viewability 
'[% Videos Fully in View']]*SUBTOTAL(9,OFFSET(DataD[Measured Impressions],ROW(DataD[Measured Impressions])-MIN(ROW(DataD[Measured Impressions])),0,1))))
/
SUM(
IF((DataD[GroupM Viewability 
'[% Videos Fully in View']]&lt;&gt;"NULL"),
SUBTOTAL(9,OFFSET(DataD[Measured Impressions],ROW(DataD[Measured Impressions])-MIN(ROW(DataD[Measured Impressions])),0,1))))</f>
        <v>0.25</v>
      </c>
      <c r="Z9" s="99">
        <f t="array" aca="1" ref="Z9" ca="1">SUM(
IF((DataD[Publicis Viewability 
'[% Display Ads Fully in View']]&lt;&gt;"NULL"),
DataD[Publicis Viewability 
'[% Display Ads Fully in View']]*SUBTOTAL(9,OFFSET(DataD[Measured Impressions],ROW(DataD[Measured Impressions])-MIN(ROW(DataD[Measured Impressions])),0,1))))
/
SUM(
IF((DataD[Publicis Viewability 
'[% Display Ads Fully in View']]&lt;&gt;"NULL"),
SUBTOTAL(9,OFFSET(DataD[Measured Impressions],ROW(DataD[Measured Impressions])-MIN(ROW(DataD[Measured Impressions])),0,1))))</f>
        <v>0.35</v>
      </c>
      <c r="AA9" s="99">
        <f t="array" aca="1" ref="AA9" ca="1">SUM(
IF((DataD[Publicis Viewability 
'[% Videos Fully in View']]&lt;&gt;"NULL"),
DataD[Publicis Viewability 
'[% Videos Fully in View']]*SUBTOTAL(9,OFFSET(DataD[Measured Impressions],ROW(DataD[Measured Impressions])-MIN(ROW(DataD[Measured Impressions])),0,1))))
/
SUM(
IF((DataD[Publicis Viewability 
'[% Videos Fully in View']]&lt;&gt;"NULL"),
SUBTOTAL(9,OFFSET(DataD[Measured Impressions],ROW(DataD[Measured Impressions])-MIN(ROW(DataD[Measured Impressions])),0,1))))</f>
        <v>0.25</v>
      </c>
      <c r="AB9" s="26"/>
    </row>
    <row r="10" spans="1:121" s="18" customFormat="1" ht="15.75" hidden="1" customHeight="1" x14ac:dyDescent="0.35">
      <c r="A10" s="71"/>
      <c r="B10" s="68"/>
      <c r="C10" s="96"/>
      <c r="D10" s="68"/>
      <c r="E10" s="68"/>
      <c r="F10" s="68"/>
      <c r="G10" s="123" t="s">
        <v>14</v>
      </c>
      <c r="H10" s="123"/>
      <c r="I10" s="124"/>
      <c r="J10" s="101" t="s">
        <v>126</v>
      </c>
      <c r="K10" s="31">
        <f t="array" aca="1" ref="K10" ca="1">SUM(
IF(DataD[Measured Rate 
'[% Measured']]&lt;&gt;"NULL",
IF(DataD[Device Type]=ColumnD[[#This Row],[Metric]],
DataD[Measured Rate 
'[% Measured']]*
SUBTOTAL(9,OFFSET(DataD[Total Impressions],ROW(DataD[Total Impressions])-MIN(ROW(DataD[Total Impressions])),0,1)))))
/
SUM(
IF(DataD[Measured Rate 
'[% Measured']]&lt;&gt;"NULL",
IF(DataD[Device Type]=ColumnD[[#This Row],[Metric]],
SUBTOTAL(9,OFFSET(DataD[Total Impressions],ROW(DataD[Total Impressions])-MIN(ROW(DataD[Total Impressions])),0,1)))))</f>
        <v>0.7</v>
      </c>
      <c r="L10" s="32">
        <f t="array" aca="1" ref="L10" ca="1">SUM(
IF(DataD[See-Through Rate 
'[% Visible']]&lt;&gt;"NULL",
IF(DataD[Device Type]=ColumnD[[#This Row],[Metric]],
DataD[See-Through Rate 
'[% Visible']]*
SUBTOTAL(9,OFFSET(DataD[Total Impressions],ROW(DataD[Total Impressions])-MIN(ROW(DataD[Total Impressions])),0,1)))))
/
SUM(
IF(DataD[See-Through Rate 
'[% Visible']]&lt;&gt;"NULL",
IF(DataD[Device Type]=ColumnD[[#This Row],[Metric]],
SUBTOTAL(9,OFFSET(DataD[Total Impressions],ROW(DataD[Total Impressions])-MIN(ROW(DataD[Total Impressions])),0,1)))))</f>
        <v>0.98</v>
      </c>
      <c r="M10" s="32">
        <f t="array" aca="1" ref="M10" ca="1">SUM(
IF(DataD[Brand Safety 
'[% Passed']]&lt;&gt;"NULL",
IF(DataD[Device Type]=ColumnD[[#This Row],[Metric]],
DataD[Brand Safety 
'[% Passed']]*
SUBTOTAL(9,OFFSET(DataD[Total Impressions],ROW(DataD[Total Impressions])-MIN(ROW(DataD[Total Impressions])),0,1)))))
/
SUM(
IF(DataD[Brand Safety 
'[% Passed']]&lt;&gt;"NULL",
IF(DataD[Device Type]=ColumnD[[#This Row],[Metric]],
SUBTOTAL(9,OFFSET(DataD[Total Impressions],ROW(DataD[Total Impressions])-MIN(ROW(DataD[Total Impressions])),0,1)))))</f>
        <v>0.95</v>
      </c>
      <c r="N10" s="32">
        <f t="array" aca="1" ref="N10" ca="1">SUM(
IF(DataD[Brand Safety 
'[% Failed']]&lt;&gt;"NULL",
IF(DataD[Device Type]=ColumnD[[#This Row],[Metric]],
DataD[Brand Safety 
'[% Failed']]*
SUBTOTAL(9,OFFSET(DataD[Total Impressions],ROW(DataD[Total Impressions])-MIN(ROW(DataD[Total Impressions])),0,1)))))
/
SUM(
IF(DataD[Brand Safety 
'[% Failed']]&lt;&gt;"NULL",
IF(DataD[Device Type]=ColumnD[[#This Row],[Metric]],
SUBTOTAL(9,OFFSET(DataD[Total Impressions],ROW(DataD[Total Impressions])-MIN(ROW(DataD[Total Impressions])),0,1)))))</f>
        <v>0.05</v>
      </c>
      <c r="O10" s="32">
        <f t="array" aca="1" ref="O10" ca="1">SUM(
IF(DataD[Brand Safety 
'[% Failed by Content']]&lt;&gt;"NULL",
IF(DataD[Device Type]=ColumnD[[#This Row],[Metric]],
DataD[Brand Safety 
'[% Failed by Content']]*
SUBTOTAL(9,OFFSET(DataD[Total Impressions],ROW(DataD[Total Impressions])-MIN(ROW(DataD[Total Impressions])),0,1)))))
/
SUM(
IF(DataD[Brand Safety 
'[% Failed by Content']]&lt;&gt;"NULL",
IF(DataD[Device Type]=ColumnD[[#This Row],[Metric]],
SUBTOTAL(9,OFFSET(DataD[Total Impressions],ROW(DataD[Total Impressions])-MIN(ROW(DataD[Total Impressions])),0,1)))))</f>
        <v>0.02</v>
      </c>
      <c r="P10" s="32">
        <f t="array" aca="1" ref="P10" ca="1">SUM(
IF(DataD[Brand Safety 
'[% Failed by Geo']]&lt;&gt;"NULL",
IF(DataD[Device Type]=ColumnD[[#This Row],[Metric]],
DataD[Brand Safety 
'[% Failed by Geo']]*
SUBTOTAL(9,OFFSET(DataD[Total Impressions],ROW(DataD[Total Impressions])-MIN(ROW(DataD[Total Impressions])),0,1)))))
/
SUM(
IF(DataD[Brand Safety 
'[% Failed by Geo']]&lt;&gt;"NULL",
IF(DataD[Device Type]=ColumnD[[#This Row],[Metric]],
SUBTOTAL(9,OFFSET(DataD[Total Impressions],ROW(DataD[Total Impressions])-MIN(ROW(DataD[Total Impressions])),0,1)))))</f>
        <v>0.02</v>
      </c>
      <c r="Q10" s="32">
        <f t="array" aca="1" ref="Q10" ca="1">SUM(
IF(DataD[Brand Safety 
'[% Failed by Keyword']]&lt;&gt;"NULL",
IF(DataD[Device Type]=ColumnD[[#This Row],[Metric]],
DataD[Brand Safety 
'[% Failed by Keyword']]*
SUBTOTAL(9,OFFSET(DataD[Total Impressions],ROW(DataD[Total Impressions])-MIN(ROW(DataD[Total Impressions])),0,1)))))
/
SUM(
IF(DataD[Brand Safety 
'[% Failed by Keyword']]&lt;&gt;"NULL",
IF(DataD[Device Type]=ColumnD[[#This Row],[Metric]],
SUBTOTAL(9,OFFSET(DataD[Total Impressions],ROW(DataD[Total Impressions])-MIN(ROW(DataD[Total Impressions])),0,1)))))</f>
        <v>0.01</v>
      </c>
      <c r="R10" s="32">
        <f t="array" aca="1" ref="R10" ca="1">SUM(
IF(DataD[Brand Safety 
'[% Failed by Blacklist']]&lt;&gt;"NULL",
IF(DataD[Device Type]=ColumnD[[#This Row],[Metric]],
DataD[Brand Safety 
'[% Failed by Blacklist']]*
SUBTOTAL(9,OFFSET(DataD[Total Impressions],ROW(DataD[Total Impressions])-MIN(ROW(DataD[Total Impressions])),0,1)))))
/
SUM(
IF(DataD[Brand Safety 
'[% Failed by Blacklist']]&lt;&gt;"NULL",
IF(DataD[Device Type]=ColumnD[[#This Row],[Metric]],
SUBTOTAL(9,OFFSET(DataD[Total Impressions],ROW(DataD[Total Impressions])-MIN(ROW(DataD[Total Impressions])),0,1)))))</f>
        <v>0.01</v>
      </c>
      <c r="S10" s="32">
        <f t="array" aca="1" ref="S10" ca="1">SUM(
IF(DataD[Brand Safety 
'[% Failed by Language']]&lt;&gt;"NULL",
IF(DataD[Device Type]=ColumnD[[#This Row],[Metric]],
DataD[Brand Safety 
'[% Failed by Language']]*
SUBTOTAL(9,OFFSET(DataD[Total Impressions],ROW(DataD[Total Impressions])-MIN(ROW(DataD[Total Impressions])),0,1)))))
/
SUM(
IF(DataD[Brand Safety 
'[% Failed by Language']]&lt;&gt;"NULL",
IF(DataD[Device Type]=ColumnD[[#This Row],[Metric]],
SUBTOTAL(9,OFFSET(DataD[Total Impressions],ROW(DataD[Total Impressions])-MIN(ROW(DataD[Total Impressions])),0,1)))))</f>
        <v>0.01</v>
      </c>
      <c r="T10" s="32">
        <f t="array" aca="1" ref="T10" ca="1">SUM(
IF(DataD[Fraud 
'[% Fraud']]&lt;&gt;"NULL",
IF(DataD[Device Type]=ColumnD[[#This Row],[Metric]],
DataD[Fraud 
'[% Fraud']]*
SUBTOTAL(9,OFFSET(DataD[Total Impressions],ROW(DataD[Total Impressions])-MIN(ROW(DataD[Total Impressions])),0,1)))))
/
SUM(
IF(DataD[Fraud 
'[% Fraud']]&lt;&gt;"NULL",
IF(DataD[Device Type]=ColumnD[[#This Row],[Metric]],
SUBTOTAL(9,OFFSET(DataD[Total Impressions],ROW(DataD[Total Impressions])-MIN(ROW(DataD[Total Impressions])),0,1)))))</f>
        <v>0.03</v>
      </c>
      <c r="U10" s="32">
        <f t="array" aca="1" ref="U10" ca="1">SUM(
IF(DataD[Viewability 
'[Total Viewable Rate (Total Net Metrics)']]&lt;&gt;"NULL",
IF(DataD[Device Type]=ColumnD[[#This Row],[Metric]],
DataD[Viewability 
'[Total Viewable Rate (Total Net Metrics)']]*
SUBTOTAL(9,OFFSET(DataD[Total Impressions],ROW(DataD[Total Impressions])-MIN(ROW(DataD[Total Impressions])),0,1)))))
/
SUM(
IF(DataD[Viewability 
'[Total Viewable Rate (Total Net Metrics)']]&lt;&gt;"NULL",
IF(DataD[Device Type]=ColumnD[[#This Row],[Metric]],
SUBTOTAL(9,OFFSET(DataD[Total Impressions],ROW(DataD[Total Impressions])-MIN(ROW(DataD[Total Impressions])),0,1)))))</f>
        <v>0.55000000000000004</v>
      </c>
      <c r="V10" s="32">
        <f t="array" aca="1" ref="V10" ca="1">SUM(
IF(DataD[Display Viewability 
'[Total Viewable Rate (Total Net Metrics)']]&lt;&gt;"NULL",
IF(DataD[Device Type]=ColumnD[[#This Row],[Metric]],
DataD[Display Viewability 
'[Total Viewable Rate (Total Net Metrics)']]*
SUBTOTAL(9,OFFSET(DataD[Total Impressions],ROW(DataD[Total Impressions])-MIN(ROW(DataD[Total Impressions])),0,1)))))
/
SUM(
IF(DataD[Display Viewability 
'[Total Viewable Rate (Total Net Metrics)']]&lt;&gt;"NULL",
IF(DataD[Device Type]=ColumnD[[#This Row],[Metric]],
SUBTOTAL(9,OFFSET(DataD[Total Impressions],ROW(DataD[Total Impressions])-MIN(ROW(DataD[Total Impressions])),0,1)))))</f>
        <v>0.59999999999999987</v>
      </c>
      <c r="W10" s="32">
        <f t="array" aca="1" ref="W10" ca="1">SUM(
IF(DataD[Video Viewability 
'[Total Viewable Rate (Total Net Metrics)']]&lt;&gt;"NULL",
IF(DataD[Device Type]=ColumnD[[#This Row],[Metric]],
DataD[Video Viewability 
'[Total Viewable Rate (Total Net Metrics)']]*
SUBTOTAL(9,OFFSET(DataD[Total Impressions],ROW(DataD[Total Impressions])-MIN(ROW(DataD[Total Impressions])),0,1)))))
/
SUM(
IF(DataD[Video Viewability 
'[Total Viewable Rate (Total Net Metrics)']]&lt;&gt;"NULL",
IF(DataD[Device Type]=ColumnD[[#This Row],[Metric]],
SUBTOTAL(9,OFFSET(DataD[Total Impressions],ROW(DataD[Total Impressions])-MIN(ROW(DataD[Total Impressions])),0,1)))))</f>
        <v>0.5</v>
      </c>
      <c r="X10" s="32">
        <f t="array" aca="1" ref="X10" ca="1">SUM(
IF(DataD[GroupM Viewability 
'[% Display Ads Fully in View']]&lt;&gt;"NULL",
IF(DataD[Device Type]=ColumnD[[#This Row],[Metric]],
DataD[GroupM Viewability 
'[% Display Ads Fully in View']]*
SUBTOTAL(9,OFFSET(DataD[Total Impressions],ROW(DataD[Total Impressions])-MIN(ROW(DataD[Total Impressions])),0,1)))))
/
SUM(
IF(DataD[GroupM Viewability 
'[% Display Ads Fully in View']]&lt;&gt;"NULL",
IF(DataD[Device Type]=ColumnD[[#This Row],[Metric]],
SUBTOTAL(9,OFFSET(DataD[Total Impressions],ROW(DataD[Total Impressions])-MIN(ROW(DataD[Total Impressions])),0,1)))))</f>
        <v>0.35</v>
      </c>
      <c r="Y10" s="32">
        <f t="array" aca="1" ref="Y10" ca="1">SUM(
IF(DataD[GroupM Viewability 
'[% Videos Fully in View']]&lt;&gt;"NULL",
IF(DataD[Device Type]=ColumnD[[#This Row],[Metric]],
DataD[GroupM Viewability 
'[% Videos Fully in View']]*
SUBTOTAL(9,OFFSET(DataD[Total Impressions],ROW(DataD[Total Impressions])-MIN(ROW(DataD[Total Impressions])),0,1)))))
/
SUM(
IF(DataD[GroupM Viewability 
'[% Videos Fully in View']]&lt;&gt;"NULL",
IF(DataD[Device Type]=ColumnD[[#This Row],[Metric]],
SUBTOTAL(9,OFFSET(DataD[Total Impressions],ROW(DataD[Total Impressions])-MIN(ROW(DataD[Total Impressions])),0,1)))))</f>
        <v>0.25</v>
      </c>
      <c r="Z10" s="32">
        <f t="array" aca="1" ref="Z10" ca="1">SUM(
IF(DataD[Publicis Viewability 
'[% Display Ads Fully in View']]&lt;&gt;"NULL",
IF(DataD[Device Type]=ColumnD[[#This Row],[Metric]],
DataD[Publicis Viewability 
'[% Display Ads Fully in View']]*
SUBTOTAL(9,OFFSET(DataD[Total Impressions],ROW(DataD[Total Impressions])-MIN(ROW(DataD[Total Impressions])),0,1)))))
/
SUM(
IF(DataD[Publicis Viewability 
'[% Display Ads Fully in View']]&lt;&gt;"NULL",
IF(DataD[Device Type]=ColumnD[[#This Row],[Metric]],
SUBTOTAL(9,OFFSET(DataD[Total Impressions],ROW(DataD[Total Impressions])-MIN(ROW(DataD[Total Impressions])),0,1)))))</f>
        <v>0.35</v>
      </c>
      <c r="AA10" s="32">
        <f t="array" aca="1" ref="AA10" ca="1">SUM(
IF(DataD[Publicis Viewability 
'[% Videos Fully in View']]&lt;&gt;"NULL",
IF(DataD[Device Type]=ColumnD[[#This Row],[Metric]],
DataD[Publicis Viewability 
'[% Videos Fully in View']]*
SUBTOTAL(9,OFFSET(DataD[Total Impressions],ROW(DataD[Total Impressions])-MIN(ROW(DataD[Total Impressions])),0,1)))))
/
SUM(
IF(DataD[Publicis Viewability 
'[% Videos Fully in View']]&lt;&gt;"NULL",
IF(DataD[Device Type]=ColumnD[[#This Row],[Metric]],
SUBTOTAL(9,OFFSET(DataD[Total Impressions],ROW(DataD[Total Impressions])-MIN(ROW(DataD[Total Impressions])),0,1)))))</f>
        <v>0.25</v>
      </c>
      <c r="AB10" s="26"/>
    </row>
    <row r="11" spans="1:121" s="18" customFormat="1" ht="16.5" hidden="1" customHeight="1" x14ac:dyDescent="0.35">
      <c r="A11" s="71"/>
      <c r="B11" s="68"/>
      <c r="C11" s="96"/>
      <c r="D11" s="68"/>
      <c r="E11" s="68"/>
      <c r="F11" s="68"/>
      <c r="G11" s="123" t="s">
        <v>14</v>
      </c>
      <c r="H11" s="123"/>
      <c r="I11" s="124"/>
      <c r="J11" s="101" t="s">
        <v>140</v>
      </c>
      <c r="K11" s="31" t="e">
        <f t="array" aca="1" ref="K11" ca="1">SUM(
IF(DataD[Measured Rate 
'[% Measured']]&lt;&gt;"NULL",
IF(DataD[NO MAPPING]=ColumnD[[#This Row],[Metric]],
DataD[Measured Rate 
'[% Measured']]*
SUBTOTAL(9,OFFSET(DataD[Total Impressions],ROW(DataD[Total Impressions])-MIN(ROW(DataD[Total Impressions])),0,1)))))
/
SUM(
IF(DataD[Measured Rate 
'[% Measured']]&lt;&gt;"NULL",
IF(DataD[NO MAPPING]=ColumnD[[#This Row],[Metric]],
SUBTOTAL(9,OFFSET(DataD[Total Impressions],ROW(DataD[Total Impressions])-MIN(ROW(DataD[Total Impressions])),0,1)))))</f>
        <v>#DIV/0!</v>
      </c>
      <c r="L11" s="32" t="e">
        <f t="array" aca="1" ref="L11" ca="1">SUM(
IF(DataD[See-Through Rate 
'[% Visible']]&lt;&gt;"NULL",
IF(DataD[NO MAPPING]=ColumnD[[#This Row],[Metric]],
DataD[See-Through Rate 
'[% Visible']]*
SUBTOTAL(9,OFFSET(DataD[Total Impressions],ROW(DataD[Total Impressions])-MIN(ROW(DataD[Total Impressions])),0,1)))))
/
SUM(
IF(DataD[See-Through Rate 
'[% Visible']]&lt;&gt;"NULL",
IF(DataD[NO MAPPING]=ColumnD[[#This Row],[Metric]],
SUBTOTAL(9,OFFSET(DataD[Total Impressions],ROW(DataD[Total Impressions])-MIN(ROW(DataD[Total Impressions])),0,1)))))</f>
        <v>#DIV/0!</v>
      </c>
      <c r="M11" s="32" t="e">
        <f t="array" aca="1" ref="M11" ca="1">SUM(
IF(DataD[Brand Safety 
'[% Passed']]&lt;&gt;"NULL",
IF(DataD[NO MAPPING]=ColumnD[[#This Row],[Metric]],
DataD[Brand Safety 
'[% Passed']]*
SUBTOTAL(9,OFFSET(DataD[Total Impressions],ROW(DataD[Total Impressions])-MIN(ROW(DataD[Total Impressions])),0,1)))))
/
SUM(
IF(DataD[Brand Safety 
'[% Passed']]&lt;&gt;"NULL",
IF(DataD[NO MAPPING]=ColumnD[[#This Row],[Metric]],
SUBTOTAL(9,OFFSET(DataD[Total Impressions],ROW(DataD[Total Impressions])-MIN(ROW(DataD[Total Impressions])),0,1)))))</f>
        <v>#DIV/0!</v>
      </c>
      <c r="N11" s="32" t="e">
        <f t="array" aca="1" ref="N11" ca="1">SUM(
IF(DataD[Brand Safety 
'[% Failed']]&lt;&gt;"NULL",
IF(DataD[NO MAPPING]=ColumnD[[#This Row],[Metric]],
DataD[Brand Safety 
'[% Failed']]*
SUBTOTAL(9,OFFSET(DataD[Total Impressions],ROW(DataD[Total Impressions])-MIN(ROW(DataD[Total Impressions])),0,1)))))
/
SUM(
IF(DataD[Brand Safety 
'[% Failed']]&lt;&gt;"NULL",
IF(DataD[NO MAPPING]=ColumnD[[#This Row],[Metric]],
SUBTOTAL(9,OFFSET(DataD[Total Impressions],ROW(DataD[Total Impressions])-MIN(ROW(DataD[Total Impressions])),0,1)))))</f>
        <v>#DIV/0!</v>
      </c>
      <c r="O11" s="32" t="e">
        <f t="array" aca="1" ref="O11" ca="1">SUM(
IF(DataD[Brand Safety 
'[% Failed by Content']]&lt;&gt;"NULL",
IF(DataD[NO MAPPING]=ColumnD[[#This Row],[Metric]],
DataD[Brand Safety 
'[% Failed by Content']]*
SUBTOTAL(9,OFFSET(DataD[Total Impressions],ROW(DataD[Total Impressions])-MIN(ROW(DataD[Total Impressions])),0,1)))))
/
SUM(
IF(DataD[Brand Safety 
'[% Failed by Content']]&lt;&gt;"NULL",
IF(DataD[NO MAPPING]=ColumnD[[#This Row],[Metric]],
SUBTOTAL(9,OFFSET(DataD[Total Impressions],ROW(DataD[Total Impressions])-MIN(ROW(DataD[Total Impressions])),0,1)))))</f>
        <v>#DIV/0!</v>
      </c>
      <c r="P11" s="32" t="e">
        <f t="array" aca="1" ref="P11" ca="1">SUM(
IF(DataD[Brand Safety 
'[% Failed by Geo']]&lt;&gt;"NULL",
IF(DataD[NO MAPPING]=ColumnD[[#This Row],[Metric]],
DataD[Brand Safety 
'[% Failed by Geo']]*
SUBTOTAL(9,OFFSET(DataD[Total Impressions],ROW(DataD[Total Impressions])-MIN(ROW(DataD[Total Impressions])),0,1)))))
/
SUM(
IF(DataD[Brand Safety 
'[% Failed by Geo']]&lt;&gt;"NULL",
IF(DataD[NO MAPPING]=ColumnD[[#This Row],[Metric]],
SUBTOTAL(9,OFFSET(DataD[Total Impressions],ROW(DataD[Total Impressions])-MIN(ROW(DataD[Total Impressions])),0,1)))))</f>
        <v>#DIV/0!</v>
      </c>
      <c r="Q11" s="32" t="e">
        <f t="array" aca="1" ref="Q11" ca="1">SUM(
IF(DataD[Brand Safety 
'[% Failed by Keyword']]&lt;&gt;"NULL",
IF(DataD[NO MAPPING]=ColumnD[[#This Row],[Metric]],
DataD[Brand Safety 
'[% Failed by Keyword']]*
SUBTOTAL(9,OFFSET(DataD[Total Impressions],ROW(DataD[Total Impressions])-MIN(ROW(DataD[Total Impressions])),0,1)))))
/
SUM(
IF(DataD[Brand Safety 
'[% Failed by Keyword']]&lt;&gt;"NULL",
IF(DataD[NO MAPPING]=ColumnD[[#This Row],[Metric]],
SUBTOTAL(9,OFFSET(DataD[Total Impressions],ROW(DataD[Total Impressions])-MIN(ROW(DataD[Total Impressions])),0,1)))))</f>
        <v>#DIV/0!</v>
      </c>
      <c r="R11" s="32" t="e">
        <f t="array" aca="1" ref="R11" ca="1">SUM(
IF(DataD[Brand Safety 
'[% Failed by Blacklist']]&lt;&gt;"NULL",
IF(DataD[NO MAPPING]=ColumnD[[#This Row],[Metric]],
DataD[Brand Safety 
'[% Failed by Blacklist']]*
SUBTOTAL(9,OFFSET(DataD[Total Impressions],ROW(DataD[Total Impressions])-MIN(ROW(DataD[Total Impressions])),0,1)))))
/
SUM(
IF(DataD[Brand Safety 
'[% Failed by Blacklist']]&lt;&gt;"NULL",
IF(DataD[NO MAPPING]=ColumnD[[#This Row],[Metric]],
SUBTOTAL(9,OFFSET(DataD[Total Impressions],ROW(DataD[Total Impressions])-MIN(ROW(DataD[Total Impressions])),0,1)))))</f>
        <v>#DIV/0!</v>
      </c>
      <c r="S11" s="32" t="e">
        <f t="array" aca="1" ref="S11" ca="1">SUM(
IF(DataD[Brand Safety 
'[% Failed by Language']]&lt;&gt;"NULL",
IF(DataD[NO MAPPING]=ColumnD[[#This Row],[Metric]],
DataD[Brand Safety 
'[% Failed by Language']]*
SUBTOTAL(9,OFFSET(DataD[Total Impressions],ROW(DataD[Total Impressions])-MIN(ROW(DataD[Total Impressions])),0,1)))))
/
SUM(
IF(DataD[Brand Safety 
'[% Failed by Language']]&lt;&gt;"NULL",
IF(DataD[NO MAPPING]=ColumnD[[#This Row],[Metric]],
SUBTOTAL(9,OFFSET(DataD[Total Impressions],ROW(DataD[Total Impressions])-MIN(ROW(DataD[Total Impressions])),0,1)))))</f>
        <v>#DIV/0!</v>
      </c>
      <c r="T11" s="32" t="e">
        <f t="array" aca="1" ref="T11" ca="1">SUM(
IF(DataD[Fraud 
'[% Fraud']]&lt;&gt;"NULL",
IF(DataD[NO MAPPING]=ColumnD[[#This Row],[Metric]],
DataD[Fraud 
'[% Fraud']]*
SUBTOTAL(9,OFFSET(DataD[Total Impressions],ROW(DataD[Total Impressions])-MIN(ROW(DataD[Total Impressions])),0,1)))))
/
SUM(
IF(DataD[Fraud 
'[% Fraud']]&lt;&gt;"NULL",
IF(DataD[NO MAPPING]=ColumnD[[#This Row],[Metric]],
SUBTOTAL(9,OFFSET(DataD[Total Impressions],ROW(DataD[Total Impressions])-MIN(ROW(DataD[Total Impressions])),0,1)))))</f>
        <v>#DIV/0!</v>
      </c>
      <c r="U11" s="32" t="e">
        <f t="array" aca="1" ref="U11" ca="1">SUM(
IF(DataD[Viewability 
'[Total Viewable Rate (Total Net Metrics)']]&lt;&gt;"NULL",
IF(DataD[NO MAPPING]=ColumnD[[#This Row],[Metric]],
DataD[Viewability 
'[Total Viewable Rate (Total Net Metrics)']]*
SUBTOTAL(9,OFFSET(DataD[Total Impressions],ROW(DataD[Total Impressions])-MIN(ROW(DataD[Total Impressions])),0,1)))))
/
SUM(
IF(DataD[Viewability 
'[Total Viewable Rate (Total Net Metrics)']]&lt;&gt;"NULL",
IF(DataD[NO MAPPING]=ColumnD[[#This Row],[Metric]],
SUBTOTAL(9,OFFSET(DataD[Total Impressions],ROW(DataD[Total Impressions])-MIN(ROW(DataD[Total Impressions])),0,1)))))</f>
        <v>#DIV/0!</v>
      </c>
      <c r="V11" s="32" t="e">
        <f t="array" aca="1" ref="V11" ca="1">SUM(
IF(DataD[Display Viewability 
'[Total Viewable Rate (Total Net Metrics)']]&lt;&gt;"NULL",
IF(DataD[NO MAPPING]=ColumnD[[#This Row],[Metric]],
DataD[Display Viewability 
'[Total Viewable Rate (Total Net Metrics)']]*
SUBTOTAL(9,OFFSET(DataD[Total Impressions],ROW(DataD[Total Impressions])-MIN(ROW(DataD[Total Impressions])),0,1)))))
/
SUM(
IF(DataD[Display Viewability 
'[Total Viewable Rate (Total Net Metrics)']]&lt;&gt;"NULL",
IF(DataD[NO MAPPING]=ColumnD[[#This Row],[Metric]],
SUBTOTAL(9,OFFSET(DataD[Total Impressions],ROW(DataD[Total Impressions])-MIN(ROW(DataD[Total Impressions])),0,1)))))</f>
        <v>#DIV/0!</v>
      </c>
      <c r="W11" s="32" t="e">
        <f t="array" aca="1" ref="W11" ca="1">SUM(
IF(DataD[Video Viewability 
'[Total Viewable Rate (Total Net Metrics)']]&lt;&gt;"NULL",
IF(DataD[NO MAPPING]=ColumnD[[#This Row],[Metric]],
DataD[Video Viewability 
'[Total Viewable Rate (Total Net Metrics)']]*
SUBTOTAL(9,OFFSET(DataD[Total Impressions],ROW(DataD[Total Impressions])-MIN(ROW(DataD[Total Impressions])),0,1)))))
/
SUM(
IF(DataD[Video Viewability 
'[Total Viewable Rate (Total Net Metrics)']]&lt;&gt;"NULL",
IF(DataD[NO MAPPING]=ColumnD[[#This Row],[Metric]],
SUBTOTAL(9,OFFSET(DataD[Total Impressions],ROW(DataD[Total Impressions])-MIN(ROW(DataD[Total Impressions])),0,1)))))</f>
        <v>#DIV/0!</v>
      </c>
      <c r="X11" s="32" t="e">
        <f t="array" aca="1" ref="X11" ca="1">SUM(
IF(DataD[GroupM Viewability 
'[% Display Ads Fully in View']]&lt;&gt;"NULL",
IF(DataD[NO MAPPING]=ColumnD[[#This Row],[Metric]],
DataD[GroupM Viewability 
'[% Display Ads Fully in View']]*
SUBTOTAL(9,OFFSET(DataD[Total Impressions],ROW(DataD[Total Impressions])-MIN(ROW(DataD[Total Impressions])),0,1)))))
/
SUM(
IF(DataD[GroupM Viewability 
'[% Display Ads Fully in View']]&lt;&gt;"NULL",
IF(DataD[NO MAPPING]=ColumnD[[#This Row],[Metric]],
SUBTOTAL(9,OFFSET(DataD[Total Impressions],ROW(DataD[Total Impressions])-MIN(ROW(DataD[Total Impressions])),0,1)))))</f>
        <v>#DIV/0!</v>
      </c>
      <c r="Y11" s="32" t="e">
        <f t="array" aca="1" ref="Y11" ca="1">SUM(
IF(DataD[GroupM Viewability 
'[% Videos Fully in View']]&lt;&gt;"NULL",
IF(DataD[NO MAPPING]=ColumnD[[#This Row],[Metric]],
DataD[GroupM Viewability 
'[% Videos Fully in View']]*
SUBTOTAL(9,OFFSET(DataD[Total Impressions],ROW(DataD[Total Impressions])-MIN(ROW(DataD[Total Impressions])),0,1)))))
/
SUM(
IF(DataD[GroupM Viewability 
'[% Videos Fully in View']]&lt;&gt;"NULL",
IF(DataD[NO MAPPING]=ColumnD[[#This Row],[Metric]],
SUBTOTAL(9,OFFSET(DataD[Total Impressions],ROW(DataD[Total Impressions])-MIN(ROW(DataD[Total Impressions])),0,1)))))</f>
        <v>#DIV/0!</v>
      </c>
      <c r="Z11" s="32" t="e">
        <f t="array" aca="1" ref="Z11" ca="1">SUM(
IF(DataD[Publicis Viewability 
'[% Display Ads Fully in View']]&lt;&gt;"NULL",
IF(DataD[NO MAPPING]=ColumnD[[#This Row],[Metric]],
DataD[Publicis Viewability 
'[% Display Ads Fully in View']]*
SUBTOTAL(9,OFFSET(DataD[Total Impressions],ROW(DataD[Total Impressions])-MIN(ROW(DataD[Total Impressions])),0,1)))))
/
SUM(
IF(DataD[Publicis Viewability 
'[% Display Ads Fully in View']]&lt;&gt;"NULL",
IF(DataD[NO MAPPING]=ColumnD[[#This Row],[Metric]],
SUBTOTAL(9,OFFSET(DataD[Total Impressions],ROW(DataD[Total Impressions])-MIN(ROW(DataD[Total Impressions])),0,1)))))</f>
        <v>#DIV/0!</v>
      </c>
      <c r="AA11" s="32" t="e">
        <f t="array" aca="1" ref="AA11" ca="1">SUM(
IF(DataD[Publicis Viewability 
'[% Videos Fully in View']]&lt;&gt;"NULL",
IF(DataD[NO MAPPING]=ColumnD[[#This Row],[Metric]],
DataD[Publicis Viewability 
'[% Videos Fully in View']]*
SUBTOTAL(9,OFFSET(DataD[Total Impressions],ROW(DataD[Total Impressions])-MIN(ROW(DataD[Total Impressions])),0,1)))))
/
SUM(
IF(DataD[Publicis Viewability 
'[% Videos Fully in View']]&lt;&gt;"NULL",
IF(DataD[NO MAPPING]=ColumnD[[#This Row],[Metric]],
SUBTOTAL(9,OFFSET(DataD[Total Impressions],ROW(DataD[Total Impressions])-MIN(ROW(DataD[Total Impressions])),0,1)))))</f>
        <v>#DIV/0!</v>
      </c>
      <c r="AB11" s="26"/>
    </row>
    <row r="12" spans="1:121" s="18" customFormat="1" ht="16.5" hidden="1" customHeight="1" x14ac:dyDescent="0.35">
      <c r="A12" s="27"/>
      <c r="B12" s="28"/>
      <c r="C12" s="97"/>
      <c r="D12" s="28"/>
      <c r="E12" s="28"/>
      <c r="F12" s="28"/>
      <c r="G12" s="239" t="s">
        <v>8</v>
      </c>
      <c r="H12" s="239"/>
      <c r="I12" s="249"/>
      <c r="J12" s="105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  <c r="AB12" s="26"/>
    </row>
    <row r="13" spans="1:121" s="18" customFormat="1" ht="16.5" hidden="1" customHeight="1" x14ac:dyDescent="0.35">
      <c r="A13" s="22"/>
      <c r="B13" s="28"/>
      <c r="C13" s="97"/>
      <c r="D13" s="28"/>
      <c r="E13" s="28"/>
      <c r="F13" s="28"/>
      <c r="G13" s="239" t="s">
        <v>8</v>
      </c>
      <c r="H13" s="239"/>
      <c r="I13" s="249"/>
      <c r="J13" s="103" t="s">
        <v>6</v>
      </c>
      <c r="K13" s="104">
        <v>0</v>
      </c>
      <c r="L13" s="104">
        <v>0</v>
      </c>
      <c r="M13" s="104">
        <v>0</v>
      </c>
      <c r="N13" s="104">
        <v>0</v>
      </c>
      <c r="O13" s="104">
        <v>0</v>
      </c>
      <c r="P13" s="104">
        <v>0</v>
      </c>
      <c r="Q13" s="104">
        <v>0</v>
      </c>
      <c r="R13" s="104">
        <v>0</v>
      </c>
      <c r="S13" s="104">
        <v>0</v>
      </c>
      <c r="T13" s="104">
        <v>0</v>
      </c>
      <c r="U13" s="104">
        <v>0</v>
      </c>
      <c r="V13" s="104">
        <v>0</v>
      </c>
      <c r="W13" s="104">
        <v>0</v>
      </c>
      <c r="X13" s="104">
        <v>0</v>
      </c>
      <c r="Y13" s="104">
        <v>0</v>
      </c>
      <c r="Z13" s="104">
        <v>1</v>
      </c>
      <c r="AA13" s="104">
        <v>0</v>
      </c>
      <c r="AB13" s="26"/>
    </row>
    <row r="14" spans="1:121" s="18" customFormat="1" ht="15.75" customHeight="1" thickBot="1" x14ac:dyDescent="0.4">
      <c r="B14" s="72" t="s">
        <v>21</v>
      </c>
      <c r="C14" s="98"/>
      <c r="D14" s="72" t="s">
        <v>21</v>
      </c>
      <c r="E14" s="72" t="s">
        <v>21</v>
      </c>
      <c r="F14" s="72" t="s">
        <v>21</v>
      </c>
      <c r="G14" s="55"/>
      <c r="H14" s="35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152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tr">
        <f>IF(DataD[[#This Row],[Team]]&lt;&gt;"","N/A","")</f>
        <v>N/A</v>
      </c>
      <c r="C16" s="46" t="s">
        <v>10</v>
      </c>
      <c r="D16" s="46" t="s">
        <v>10</v>
      </c>
      <c r="E16" s="46" t="s">
        <v>10</v>
      </c>
      <c r="F16" s="46" t="s">
        <v>10</v>
      </c>
      <c r="G16" s="46" t="s">
        <v>126</v>
      </c>
      <c r="H16" s="46" t="s">
        <v>10</v>
      </c>
      <c r="I16" s="47">
        <v>292953764</v>
      </c>
      <c r="J16" s="48">
        <v>450881961</v>
      </c>
      <c r="K16" s="49">
        <v>0.7</v>
      </c>
      <c r="L16" s="49">
        <v>0.98</v>
      </c>
      <c r="M16" s="49">
        <v>0.95</v>
      </c>
      <c r="N16" s="49">
        <v>0.05</v>
      </c>
      <c r="O16" s="49">
        <v>0.02</v>
      </c>
      <c r="P16" s="49">
        <v>0.02</v>
      </c>
      <c r="Q16" s="49">
        <v>0.01</v>
      </c>
      <c r="R16" s="49">
        <v>0.01</v>
      </c>
      <c r="S16" s="49">
        <v>0.01</v>
      </c>
      <c r="T16" s="49">
        <v>0.03</v>
      </c>
      <c r="U16" s="49">
        <v>0.55000000000000004</v>
      </c>
      <c r="V16" s="49">
        <v>0.6</v>
      </c>
      <c r="W16" s="49">
        <v>0.5</v>
      </c>
      <c r="X16" s="49">
        <v>0.35</v>
      </c>
      <c r="Y16" s="49">
        <v>0.25</v>
      </c>
      <c r="Z16" s="49">
        <v>0.35</v>
      </c>
      <c r="AA16" s="49">
        <v>0.25</v>
      </c>
    </row>
    <row r="21" spans="6:7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5">
    <mergeCell ref="G6:I6"/>
    <mergeCell ref="G7:I7"/>
    <mergeCell ref="G8:I8"/>
    <mergeCell ref="G13:I13"/>
    <mergeCell ref="G12:I12"/>
  </mergeCells>
  <conditionalFormatting sqref="K16:AA16">
    <cfRule type="cellIs" dxfId="250" priority="8" operator="equal">
      <formula>""</formula>
    </cfRule>
  </conditionalFormatting>
  <conditionalFormatting sqref="A1:XFD6 A8:XFD1048576 A7:J7 AB7:XFD7">
    <cfRule type="expression" dxfId="249" priority="7">
      <formula>ISERROR(A1)</formula>
    </cfRule>
  </conditionalFormatting>
  <conditionalFormatting sqref="K16:AA16 K9:AA11">
    <cfRule type="expression" dxfId="248" priority="10">
      <formula>IF(K$7="N/A",0,IF(K$7="Above",K9&lt;=(1-$J$4)*K$8,K9&gt;=(1+$J$4)*K$8))</formula>
    </cfRule>
    <cfRule type="expression" dxfId="247" priority="11">
      <formula>IF(OR(K$7="N/A",K9=0),0,IF(K$7="Above",K9&gt;=(1+$J$3)*K$8,K9&lt;=(1-$J$3)*K$8))</formula>
    </cfRule>
  </conditionalFormatting>
  <conditionalFormatting sqref="K7:AA7">
    <cfRule type="expression" dxfId="246" priority="1">
      <formula>ISERROR(K7)</formula>
    </cfRule>
  </conditionalFormatting>
  <dataValidations count="7">
    <dataValidation allowBlank="1" showInputMessage="1" showErrorMessage="1" errorTitle="Invalid Entry" error="Please select/enter a value from 1 to 5 from the dropdown." sqref="J9 K10:AA11 G9:G11 AB12:XFD13 J11 A13" xr:uid="{00000000-0002-0000-0500-000000000000}"/>
    <dataValidation type="list" allowBlank="1" showInputMessage="1" showErrorMessage="1" errorTitle="Invalid Entry" error="Please select/enter a value from 1 to 5 from the dropdown." sqref="J10" xr:uid="{00000000-0002-0000-05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500-000002000000}">
      <formula1>"0,1,2,3,4,5"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500-000004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500-000005000000}"/>
    <dataValidation allowBlank="1" showInputMessage="1" showErrorMessage="1" prompt="Cell will highlight red if performance deviates by more than this percentage of the client goal." sqref="J4" xr:uid="{00000000-0002-0000-0500-000006000000}"/>
    <dataValidation type="list" allowBlank="1" showInputMessage="1" showErrorMessage="1" sqref="X27" xr:uid="{00000000-0002-0000-0500-000003000000}">
      <formula1>#REF!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29FAD5BF-0D0A-4481-B86D-3B471B562727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30.453125" style="50" hidden="1" customWidth="1"/>
    <col min="4" max="4" width="49.453125" style="50" customWidth="1"/>
    <col min="5" max="6" width="30.54296875" style="50" hidden="1" customWidth="1"/>
    <col min="7" max="7" width="21.7265625" style="50" customWidth="1"/>
    <col min="8" max="8" width="20.54296875" style="50" hidden="1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2"/>
      <c r="C1" s="12"/>
      <c r="D1" s="11"/>
      <c r="E1" s="13" t="s">
        <v>21</v>
      </c>
      <c r="F1" s="13" t="s">
        <v>21</v>
      </c>
      <c r="G1" s="52"/>
      <c r="H1" s="13" t="s">
        <v>21</v>
      </c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2"/>
      <c r="C2" s="12"/>
      <c r="D2" s="11"/>
      <c r="E2" s="16"/>
      <c r="F2" s="16"/>
      <c r="G2" s="52"/>
      <c r="H2" s="16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2"/>
      <c r="C3" s="12"/>
      <c r="D3" s="11"/>
      <c r="E3" s="16"/>
      <c r="F3" s="16"/>
      <c r="G3" s="52"/>
      <c r="H3" s="16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2"/>
      <c r="C4" s="12"/>
      <c r="D4" s="11"/>
      <c r="E4" s="16"/>
      <c r="F4" s="16"/>
      <c r="G4" s="52"/>
      <c r="H4" s="16"/>
      <c r="I4" s="16"/>
      <c r="J4" s="77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2"/>
      <c r="C5" s="12"/>
      <c r="D5" s="11"/>
      <c r="E5" s="16"/>
      <c r="F5" s="16"/>
      <c r="G5" s="52"/>
      <c r="H5" s="16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9" t="s">
        <v>155</v>
      </c>
      <c r="C6" s="79"/>
      <c r="D6" s="79" t="s">
        <v>155</v>
      </c>
      <c r="E6" s="70"/>
      <c r="F6" s="70"/>
      <c r="G6" s="253" t="s">
        <v>133</v>
      </c>
      <c r="H6" s="254"/>
      <c r="I6" s="255"/>
      <c r="J6" s="2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</row>
    <row r="7" spans="1:121" s="18" customFormat="1" ht="15" hidden="1" customHeight="1" thickBot="1" x14ac:dyDescent="0.4">
      <c r="A7" s="27"/>
      <c r="B7" s="234"/>
      <c r="C7" s="234"/>
      <c r="D7" s="234"/>
      <c r="E7" s="70"/>
      <c r="F7" s="70"/>
      <c r="G7" s="250" t="s">
        <v>132</v>
      </c>
      <c r="H7" s="251"/>
      <c r="I7" s="252"/>
      <c r="J7" s="54" t="s">
        <v>0</v>
      </c>
      <c r="K7" s="155" t="s">
        <v>2</v>
      </c>
      <c r="L7" s="155" t="s">
        <v>2</v>
      </c>
      <c r="M7" s="156" t="s">
        <v>2</v>
      </c>
      <c r="N7" s="156" t="s">
        <v>3</v>
      </c>
      <c r="O7" s="156" t="s">
        <v>3</v>
      </c>
      <c r="P7" s="156" t="s">
        <v>3</v>
      </c>
      <c r="Q7" s="29" t="s">
        <v>3</v>
      </c>
      <c r="R7" s="155" t="s">
        <v>3</v>
      </c>
      <c r="S7" s="155" t="s">
        <v>3</v>
      </c>
      <c r="T7" s="155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5" t="s">
        <v>2</v>
      </c>
      <c r="AA7" s="155" t="s">
        <v>2</v>
      </c>
    </row>
    <row r="8" spans="1:121" s="18" customFormat="1" ht="15.65" customHeight="1" x14ac:dyDescent="0.35">
      <c r="A8" s="22"/>
      <c r="B8" s="80"/>
      <c r="C8" s="80"/>
      <c r="D8" s="80" t="str">
        <f ca="1">MID(CELL("filename",A1),FIND("]",CELL("filename",A1))+1,255)&amp;" Level Scorecard"</f>
        <v>Campaign &amp; Device Level Scorecard</v>
      </c>
      <c r="E8" s="70"/>
      <c r="F8" s="70"/>
      <c r="G8" s="230" t="s">
        <v>132</v>
      </c>
      <c r="H8" s="231"/>
      <c r="I8" s="257"/>
      <c r="J8" s="126" t="s">
        <v>16</v>
      </c>
      <c r="K8" s="127">
        <f>VLOOKUP(K6,Benchmark_Legend[],MATCH(ColumnCD[[#This Row],[Metric]],Benchmark_Legend[#Headers],0),0)</f>
        <v>0.7</v>
      </c>
      <c r="L8" s="127">
        <f>VLOOKUP(L6,Benchmark_Legend[],MATCH(ColumnCD[[#This Row],[Metric]],Benchmark_Legend[#Headers],0),0)</f>
        <v>0.98</v>
      </c>
      <c r="M8" s="127">
        <f>VLOOKUP(M6,Benchmark_Legend[],MATCH(ColumnCD[[#This Row],[Metric]],Benchmark_Legend[#Headers],0),0)</f>
        <v>0.95</v>
      </c>
      <c r="N8" s="127">
        <f>VLOOKUP(N6,Benchmark_Legend[],MATCH(ColumnCD[[#This Row],[Metric]],Benchmark_Legend[#Headers],0),0)</f>
        <v>0.05</v>
      </c>
      <c r="O8" s="127">
        <f>VLOOKUP(O6,Benchmark_Legend[],MATCH(ColumnCD[[#This Row],[Metric]],Benchmark_Legend[#Headers],0),0)</f>
        <v>0.02</v>
      </c>
      <c r="P8" s="127">
        <f>VLOOKUP(P6,Benchmark_Legend[],MATCH(ColumnCD[[#This Row],[Metric]],Benchmark_Legend[#Headers],0),0)</f>
        <v>0.02</v>
      </c>
      <c r="Q8" s="127">
        <f>VLOOKUP(Q6,Benchmark_Legend[],MATCH(ColumnCD[[#This Row],[Metric]],Benchmark_Legend[#Headers],0),0)</f>
        <v>0.01</v>
      </c>
      <c r="R8" s="127">
        <f>VLOOKUP(R6,Benchmark_Legend[],MATCH(ColumnCD[[#This Row],[Metric]],Benchmark_Legend[#Headers],0),0)</f>
        <v>0.01</v>
      </c>
      <c r="S8" s="127">
        <f>VLOOKUP(S6,Benchmark_Legend[],MATCH(ColumnCD[[#This Row],[Metric]],Benchmark_Legend[#Headers],0),0)</f>
        <v>0.01</v>
      </c>
      <c r="T8" s="127">
        <f>VLOOKUP(T6,Benchmark_Legend[],MATCH(ColumnCD[[#This Row],[Metric]],Benchmark_Legend[#Headers],0),0)</f>
        <v>0.03</v>
      </c>
      <c r="U8" s="127">
        <f>VLOOKUP(U6,Benchmark_Legend[],MATCH(ColumnCD[[#This Row],[Metric]],Benchmark_Legend[#Headers],0),0)</f>
        <v>0.55000000000000004</v>
      </c>
      <c r="V8" s="127">
        <f>VLOOKUP(V6,Benchmark_Legend[],MATCH(ColumnCD[[#This Row],[Metric]],Benchmark_Legend[#Headers],0),0)</f>
        <v>0.6</v>
      </c>
      <c r="W8" s="127">
        <f>VLOOKUP(W6,Benchmark_Legend[],MATCH(ColumnCD[[#This Row],[Metric]],Benchmark_Legend[#Headers],0),0)</f>
        <v>0.5</v>
      </c>
      <c r="X8" s="127">
        <f>VLOOKUP(X6,Benchmark_Legend[],MATCH(ColumnCD[[#This Row],[Metric]],Benchmark_Legend[#Headers],0),0)</f>
        <v>0.35</v>
      </c>
      <c r="Y8" s="127">
        <f>VLOOKUP(Y6,Benchmark_Legend[],MATCH(ColumnCD[[#This Row],[Metric]],Benchmark_Legend[#Headers],0),0)</f>
        <v>0.25</v>
      </c>
      <c r="Z8" s="127">
        <f>VLOOKUP(Z6,Benchmark_Legend[],MATCH(ColumnCD[[#This Row],[Metric]],Benchmark_Legend[#Headers],0),0)</f>
        <v>0.35</v>
      </c>
      <c r="AA8" s="127">
        <f>VLOOKUP(AA6,Benchmark_Legend[],MATCH(ColumnCD[[#This Row],[Metric]],Benchmark_Legend[#Headers],0),0)</f>
        <v>0.25</v>
      </c>
    </row>
    <row r="9" spans="1:121" s="18" customFormat="1" ht="15.65" customHeight="1" thickBot="1" x14ac:dyDescent="0.4">
      <c r="B9" s="80"/>
      <c r="C9" s="80"/>
      <c r="D9" s="80" t="s">
        <v>154</v>
      </c>
      <c r="E9" s="68"/>
      <c r="F9" s="68"/>
      <c r="G9" s="117" t="s">
        <v>14</v>
      </c>
      <c r="H9" s="118"/>
      <c r="I9" s="119"/>
      <c r="J9" s="112" t="s">
        <v>130</v>
      </c>
      <c r="K9" s="99">
        <f t="array" aca="1" ref="K9" ca="1">SUM(
IF((DataCD[Measured Rate 
'[% Measured']]&lt;&gt;"NULL"),
DataCD[Measured Rate 
'[% Measured']]*
SUBTOTAL(9,OFFSET(DataCD[Total Impressions],ROW(DataCD[Total Impressions])-MIN(ROW(DataCD[Total Impressions])),0,1))))
/
SUM(
IF((DataCD[Measured Rate 
'[% Measured']]&lt;&gt;"NULL"),
SUBTOTAL(9,OFFSET(DataCD[Total Impressions],ROW(DataCD[Total Impressions])-MIN(ROW(DataCD[Total Impressions])),0,1))))</f>
        <v>0.7</v>
      </c>
      <c r="L9" s="99">
        <f t="array" aca="1" ref="L9" ca="1">SUM(
IF((DataCD[See-Through Rate 
'[% Visible']]&lt;&gt;"NULL"),
DataCD[See-Through Rate 
'[% Visible']]*
SUBTOTAL(9,OFFSET(DataCD[Total Impressions],ROW(DataCD[Total Impressions])-MIN(ROW(DataCD[Total Impressions])),0,1))))
/
SUM(
IF((DataCD[See-Through Rate 
'[% Visible']]&lt;&gt;"NULL"),
SUBTOTAL(9,OFFSET(DataCD[Total Impressions],ROW(DataCD[Total Impressions])-MIN(ROW(DataCD[Total Impressions])),0,1))))</f>
        <v>0.98</v>
      </c>
      <c r="M9" s="111">
        <f t="array" aca="1" ref="M9" ca="1">SUM(
IF((DataCD[Brand Safety 
'[% Passed']]&lt;&gt;"NULL"),
DataCD[Brand Safety 
'[% Passed']]*
SUBTOTAL(9,OFFSET(DataCD[Total Impressions],ROW(DataCD[Total Impressions])-MIN(ROW(DataCD[Total Impressions])),0,1))))
/
SUM(
IF((DataCD[Brand Safety 
'[% Passed']]&lt;&gt;"NULL"),
SUBTOTAL(9,OFFSET(DataCD[Total Impressions],ROW(DataCD[Total Impressions])-MIN(ROW(DataCD[Total Impressions])),0,1))))</f>
        <v>0.95</v>
      </c>
      <c r="N9" s="111">
        <f t="array" aca="1" ref="N9" ca="1">SUM(
IF((DataCD[Brand Safety 
'[% Failed']]&lt;&gt;"NULL"),
DataCD[Brand Safety 
'[% Failed']]*
SUBTOTAL(9,OFFSET(DataCD[Total Impressions],ROW(DataCD[Total Impressions])-MIN(ROW(DataCD[Total Impressions])),0,1))))
/
SUM(
IF((DataCD[Brand Safety 
'[% Failed']]&lt;&gt;"NULL"),
SUBTOTAL(9,OFFSET(DataCD[Total Impressions],ROW(DataCD[Total Impressions])-MIN(ROW(DataCD[Total Impressions])),0,1))))</f>
        <v>0.05</v>
      </c>
      <c r="O9" s="111">
        <f t="array" aca="1" ref="O9" ca="1">SUM(
IF((DataCD[Brand Safety 
'[% Failed by Content']]&lt;&gt;"NULL"),
DataCD[Brand Safety 
'[% Failed by Content']]*
SUBTOTAL(9,OFFSET(DataCD[Total Impressions],ROW(DataCD[Total Impressions])-MIN(ROW(DataCD[Total Impressions])),0,1))))
/
SUM(
IF((DataCD[Brand Safety 
'[% Failed by Content']]&lt;&gt;"NULL"),
SUBTOTAL(9,OFFSET(DataCD[Total Impressions],ROW(DataCD[Total Impressions])-MIN(ROW(DataCD[Total Impressions])),0,1))))</f>
        <v>0.02</v>
      </c>
      <c r="P9" s="111">
        <f t="array" aca="1" ref="P9" ca="1">SUM(
IF((DataCD[Brand Safety 
'[% Failed by Geo']]&lt;&gt;"NULL"),
DataCD[Brand Safety 
'[% Failed by Geo']]*
SUBTOTAL(9,OFFSET(DataCD[Total Impressions],ROW(DataCD[Total Impressions])-MIN(ROW(DataCD[Total Impressions])),0,1))))
/
SUM(
IF((DataCD[Brand Safety 
'[% Failed by Geo']]&lt;&gt;"NULL"),
SUBTOTAL(9,OFFSET(DataCD[Total Impressions],ROW(DataCD[Total Impressions])-MIN(ROW(DataCD[Total Impressions])),0,1))))</f>
        <v>0.02</v>
      </c>
      <c r="Q9" s="99">
        <f t="array" aca="1" ref="Q9" ca="1">SUM(
IF((DataCD[Brand Safety 
'[% Failed by Keyword']]&lt;&gt;"NULL"),
DataCD[Brand Safety 
'[% Failed by Keyword']]*
SUBTOTAL(9,OFFSET(DataCD[Total Impressions],ROW(DataCD[Total Impressions])-MIN(ROW(DataCD[Total Impressions])),0,1))))
/
SUM(
IF((DataCD[Brand Safety 
'[% Failed by Keyword']]&lt;&gt;"NULL"),
SUBTOTAL(9,OFFSET(DataCD[Total Impressions],ROW(DataCD[Total Impressions])-MIN(ROW(DataCD[Total Impressions])),0,1))))</f>
        <v>0.01</v>
      </c>
      <c r="R9" s="99">
        <f t="array" aca="1" ref="R9" ca="1">SUM(
IF((DataCD[Brand Safety 
'[% Failed by Blacklist']]&lt;&gt;"NULL"),
DataCD[Brand Safety 
'[% Failed by Blacklist']]*
SUBTOTAL(9,OFFSET(DataCD[Total Impressions],ROW(DataCD[Total Impressions])-MIN(ROW(DataCD[Total Impressions])),0,1))))
/
SUM(
IF((DataCD[Brand Safety 
'[% Failed by Blacklist']]&lt;&gt;"NULL"),
SUBTOTAL(9,OFFSET(DataCD[Total Impressions],ROW(DataCD[Total Impressions])-MIN(ROW(DataCD[Total Impressions])),0,1))))</f>
        <v>0.01</v>
      </c>
      <c r="S9" s="99">
        <f t="array" aca="1" ref="S9" ca="1">SUM(
IF((DataCD[Brand Safety 
'[% Failed by Language']]&lt;&gt;"NULL"),
DataCD[Brand Safety 
'[% Failed by Language']]*
SUBTOTAL(9,OFFSET(DataCD[Total Impressions],ROW(DataCD[Total Impressions])-MIN(ROW(DataCD[Total Impressions])),0,1))))
/
SUM(
IF((DataCD[Brand Safety 
'[% Failed by Language']]&lt;&gt;"NULL"),
SUBTOTAL(9,OFFSET(DataCD[Total Impressions],ROW(DataCD[Total Impressions])-MIN(ROW(DataCD[Total Impressions])),0,1))))</f>
        <v>0.01</v>
      </c>
      <c r="T9" s="99">
        <f t="array" aca="1" ref="T9" ca="1">SUM(
IF((DataCD[Fraud 
'[% Fraud']]&lt;&gt;"NULL"),
DataCD[Fraud 
'[% Fraud']]*
SUBTOTAL(9,OFFSET(DataCD[Total Impressions],ROW(DataCD[Total Impressions])-MIN(ROW(DataCD[Total Impressions])),0,1))))
/
SUM(
IF((DataCD[Fraud 
'[% Fraud']]&lt;&gt;"NULL"),
SUBTOTAL(9,OFFSET(DataCD[Total Impressions],ROW(DataCD[Total Impressions])-MIN(ROW(DataCD[Total Impressions])),0,1))))</f>
        <v>0.03</v>
      </c>
      <c r="U9" s="99">
        <f t="array" aca="1" ref="U9" ca="1">SUM(
IF((DataCD[Viewability 
'[Total Viewable Rate (Total Net Metrics)']]&lt;&gt;"NULL"),
DataCD[Viewability 
'[Total Viewable Rate (Total Net Metrics)']]*SUBTOTAL(9,OFFSET(DataCD[Measured Impressions],ROW(DataCD[Measured Impressions])-MIN(ROW(DataCD[Measured Impressions])),0,1))))
/
SUM(
IF((DataCD[Viewability 
'[Total Viewable Rate (Total Net Metrics)']]&lt;&gt;"NULL"),
SUBTOTAL(9,OFFSET(DataCD[Measured Impressions],ROW(DataCD[Measured Impressions])-MIN(ROW(DataCD[Measured Impressions])),0,1))))</f>
        <v>0.55000000000000004</v>
      </c>
      <c r="V9" s="99">
        <f t="array" aca="1" ref="V9" ca="1">SUM(
IF((DataCD[Display Viewability 
'[Total Viewable Rate (Total Net Metrics)']]&lt;&gt;"NULL"),
DataCD[Display Viewability 
'[Total Viewable Rate (Total Net Metrics)']]*SUBTOTAL(9,OFFSET(DataCD[Measured Impressions],ROW(DataCD[Measured Impressions])-MIN(ROW(DataCD[Measured Impressions])),0,1))))
/
SUM(
IF((DataCD[Display Viewability 
'[Total Viewable Rate (Total Net Metrics)']]&lt;&gt;"NULL"),
SUBTOTAL(9,OFFSET(DataCD[Measured Impressions],ROW(DataCD[Measured Impressions])-MIN(ROW(DataCD[Measured Impressions])),0,1))))</f>
        <v>0.6</v>
      </c>
      <c r="W9" s="111">
        <f t="array" aca="1" ref="W9" ca="1">SUM(
IF((DataCD[Video Viewability 
'[Total Viewable Rate (Total Net Metrics)']]&lt;&gt;"NULL"),
DataCD[Video Viewability 
'[Total Viewable Rate (Total Net Metrics)']]*SUBTOTAL(9,OFFSET(DataCD[Measured Impressions],ROW(DataCD[Measured Impressions])-MIN(ROW(DataCD[Measured Impressions])),0,1))))
/
SUM(
IF((DataCD[Video Viewability 
'[Total Viewable Rate (Total Net Metrics)']]&lt;&gt;"NULL"),
SUBTOTAL(9,OFFSET(DataCD[Measured Impressions],ROW(DataCD[Measured Impressions])-MIN(ROW(DataCD[Measured Impressions])),0,1))))</f>
        <v>0.5</v>
      </c>
      <c r="X9" s="99">
        <f t="array" aca="1" ref="X9" ca="1">SUM(
IF((DataCD[GroupM Viewability 
'[% Display Ads Fully in View']]&lt;&gt;"NULL"),
DataCD[GroupM Viewability 
'[% Display Ads Fully in View']]*SUBTOTAL(9,OFFSET(DataCD[Measured Impressions],ROW(DataCD[Measured Impressions])-MIN(ROW(DataCD[Measured Impressions])),0,1))))
/
SUM(
IF((DataCD[GroupM Viewability 
'[% Display Ads Fully in View']]&lt;&gt;"NULL"),
SUBTOTAL(9,OFFSET(DataCD[Measured Impressions],ROW(DataCD[Measured Impressions])-MIN(ROW(DataCD[Measured Impressions])),0,1))))</f>
        <v>0.35</v>
      </c>
      <c r="Y9" s="111">
        <f t="array" aca="1" ref="Y9" ca="1">SUM(
IF((DataCD[GroupM Viewability 
'[% Videos Fully in View']]&lt;&gt;"NULL"),
DataCD[GroupM Viewability 
'[% Videos Fully in View']]*SUBTOTAL(9,OFFSET(DataCD[Measured Impressions],ROW(DataCD[Measured Impressions])-MIN(ROW(DataCD[Measured Impressions])),0,1))))
/
SUM(
IF((DataCD[GroupM Viewability 
'[% Videos Fully in View']]&lt;&gt;"NULL"),
SUBTOTAL(9,OFFSET(DataCD[Measured Impressions],ROW(DataCD[Measured Impressions])-MIN(ROW(DataCD[Measured Impressions])),0,1))))</f>
        <v>0.25</v>
      </c>
      <c r="Z9" s="99">
        <f t="array" aca="1" ref="Z9" ca="1">SUM(
IF((DataCD[Publicis Viewability 
'[% Display Ads Fully in View']]&lt;&gt;"NULL"),
DataCD[Publicis Viewability 
'[% Display Ads Fully in View']]*SUBTOTAL(9,OFFSET(DataCD[Measured Impressions],ROW(DataCD[Measured Impressions])-MIN(ROW(DataCD[Measured Impressions])),0,1))))
/
SUM(
IF((DataCD[Publicis Viewability 
'[% Display Ads Fully in View']]&lt;&gt;"NULL"),
SUBTOTAL(9,OFFSET(DataCD[Measured Impressions],ROW(DataCD[Measured Impressions])-MIN(ROW(DataCD[Measured Impressions])),0,1))))</f>
        <v>0.35</v>
      </c>
      <c r="AA9" s="99">
        <f t="array" aca="1" ref="AA9" ca="1">SUM(
IF((DataCD[Publicis Viewability 
'[% Videos Fully in View']]&lt;&gt;"NULL"),
DataCD[Publicis Viewability 
'[% Videos Fully in View']]*SUBTOTAL(9,OFFSET(DataCD[Measured Impressions],ROW(DataCD[Measured Impressions])-MIN(ROW(DataCD[Measured Impressions])),0,1))))
/
SUM(
IF((DataCD[Publicis Viewability 
'[% Videos Fully in View']]&lt;&gt;"NULL"),
SUBTOTAL(9,OFFSET(DataCD[Measured Impressions],ROW(DataCD[Measured Impressions])-MIN(ROW(DataCD[Measured Impressions])),0,1))))</f>
        <v>0.25</v>
      </c>
    </row>
    <row r="10" spans="1:121" s="18" customFormat="1" ht="15.75" hidden="1" customHeight="1" x14ac:dyDescent="0.35">
      <c r="A10" s="67"/>
      <c r="B10" s="68"/>
      <c r="C10" s="66"/>
      <c r="D10" s="68"/>
      <c r="E10" s="68"/>
      <c r="F10" s="68"/>
      <c r="G10" s="115"/>
      <c r="H10" s="115"/>
      <c r="I10" s="116"/>
      <c r="J10" s="101" t="s">
        <v>126</v>
      </c>
      <c r="K10" s="31">
        <f t="array" aca="1" ref="K10" ca="1">SUM(
IF(DataCD[Measured Rate 
'[% Measured']]&lt;&gt;"NULL",
IF(DataCD[Device Type]=ColumnCD[[#This Row],[Metric]],
DataCD[Measured Rate 
'[% Measured']]*
SUBTOTAL(9,OFFSET(DataCD[Total Impressions],ROW(DataCD[Total Impressions])-MIN(ROW(DataCD[Total Impressions])),0,1)))))
/
SUM(
IF(DataCD[Measured Rate 
'[% Measured']]&lt;&gt;"NULL",
IF(DataCD[Device Type]=ColumnCD[[#This Row],[Metric]],
SUBTOTAL(9,OFFSET(DataCD[Total Impressions],ROW(DataCD[Total Impressions])-MIN(ROW(DataCD[Total Impressions])),0,1)))))</f>
        <v>0.7</v>
      </c>
      <c r="L10" s="32">
        <f t="array" aca="1" ref="L10" ca="1">SUM(
IF(DataCD[See-Through Rate 
'[% Visible']]&lt;&gt;"NULL",
IF(DataCD[Device Type]=ColumnCD[[#This Row],[Metric]],
DataCD[See-Through Rate 
'[% Visible']]*
SUBTOTAL(9,OFFSET(DataCD[Total Impressions],ROW(DataCD[Total Impressions])-MIN(ROW(DataCD[Total Impressions])),0,1)))))
/
SUM(
IF(DataCD[See-Through Rate 
'[% Visible']]&lt;&gt;"NULL",
IF(DataCD[Device Type]=ColumnCD[[#This Row],[Metric]],
SUBTOTAL(9,OFFSET(DataCD[Total Impressions],ROW(DataCD[Total Impressions])-MIN(ROW(DataCD[Total Impressions])),0,1)))))</f>
        <v>0.98</v>
      </c>
      <c r="M10" s="32">
        <f t="array" aca="1" ref="M10" ca="1">SUM(
IF(DataCD[Brand Safety 
'[% Passed']]&lt;&gt;"NULL",
IF(DataCD[Device Type]=ColumnCD[[#This Row],[Metric]],
DataCD[Brand Safety 
'[% Passed']]*
SUBTOTAL(9,OFFSET(DataCD[Total Impressions],ROW(DataCD[Total Impressions])-MIN(ROW(DataCD[Total Impressions])),0,1)))))
/
SUM(
IF(DataCD[Brand Safety 
'[% Passed']]&lt;&gt;"NULL",
IF(DataCD[Device Type]=ColumnCD[[#This Row],[Metric]],
SUBTOTAL(9,OFFSET(DataCD[Total Impressions],ROW(DataCD[Total Impressions])-MIN(ROW(DataCD[Total Impressions])),0,1)))))</f>
        <v>0.95</v>
      </c>
      <c r="N10" s="32">
        <f t="array" aca="1" ref="N10" ca="1">SUM(
IF(DataCD[Brand Safety 
'[% Failed']]&lt;&gt;"NULL",
IF(DataCD[Device Type]=ColumnCD[[#This Row],[Metric]],
DataCD[Brand Safety 
'[% Failed']]*
SUBTOTAL(9,OFFSET(DataCD[Total Impressions],ROW(DataCD[Total Impressions])-MIN(ROW(DataCD[Total Impressions])),0,1)))))
/
SUM(
IF(DataCD[Brand Safety 
'[% Failed']]&lt;&gt;"NULL",
IF(DataCD[Device Type]=ColumnCD[[#This Row],[Metric]],
SUBTOTAL(9,OFFSET(DataCD[Total Impressions],ROW(DataCD[Total Impressions])-MIN(ROW(DataCD[Total Impressions])),0,1)))))</f>
        <v>0.05</v>
      </c>
      <c r="O10" s="32">
        <f t="array" aca="1" ref="O10" ca="1">SUM(
IF(DataCD[Brand Safety 
'[% Failed by Content']]&lt;&gt;"NULL",
IF(DataCD[Device Type]=ColumnCD[[#This Row],[Metric]],
DataCD[Brand Safety 
'[% Failed by Content']]*
SUBTOTAL(9,OFFSET(DataCD[Total Impressions],ROW(DataCD[Total Impressions])-MIN(ROW(DataCD[Total Impressions])),0,1)))))
/
SUM(
IF(DataCD[Brand Safety 
'[% Failed by Content']]&lt;&gt;"NULL",
IF(DataCD[Device Type]=ColumnCD[[#This Row],[Metric]],
SUBTOTAL(9,OFFSET(DataCD[Total Impressions],ROW(DataCD[Total Impressions])-MIN(ROW(DataCD[Total Impressions])),0,1)))))</f>
        <v>0.02</v>
      </c>
      <c r="P10" s="32">
        <f t="array" aca="1" ref="P10" ca="1">SUM(
IF(DataCD[Brand Safety 
'[% Failed by Geo']]&lt;&gt;"NULL",
IF(DataCD[Device Type]=ColumnCD[[#This Row],[Metric]],
DataCD[Brand Safety 
'[% Failed by Geo']]*
SUBTOTAL(9,OFFSET(DataCD[Total Impressions],ROW(DataCD[Total Impressions])-MIN(ROW(DataCD[Total Impressions])),0,1)))))
/
SUM(
IF(DataCD[Brand Safety 
'[% Failed by Geo']]&lt;&gt;"NULL",
IF(DataCD[Device Type]=ColumnCD[[#This Row],[Metric]],
SUBTOTAL(9,OFFSET(DataCD[Total Impressions],ROW(DataCD[Total Impressions])-MIN(ROW(DataCD[Total Impressions])),0,1)))))</f>
        <v>0.02</v>
      </c>
      <c r="Q10" s="32">
        <f t="array" aca="1" ref="Q10" ca="1">SUM(
IF(DataCD[Brand Safety 
'[% Failed by Keyword']]&lt;&gt;"NULL",
IF(DataCD[Device Type]=ColumnCD[[#This Row],[Metric]],
DataCD[Brand Safety 
'[% Failed by Keyword']]*
SUBTOTAL(9,OFFSET(DataCD[Total Impressions],ROW(DataCD[Total Impressions])-MIN(ROW(DataCD[Total Impressions])),0,1)))))
/
SUM(
IF(DataCD[Brand Safety 
'[% Failed by Keyword']]&lt;&gt;"NULL",
IF(DataCD[Device Type]=ColumnCD[[#This Row],[Metric]],
SUBTOTAL(9,OFFSET(DataCD[Total Impressions],ROW(DataCD[Total Impressions])-MIN(ROW(DataCD[Total Impressions])),0,1)))))</f>
        <v>0.01</v>
      </c>
      <c r="R10" s="32">
        <f t="array" aca="1" ref="R10" ca="1">SUM(
IF(DataCD[Brand Safety 
'[% Failed by Blacklist']]&lt;&gt;"NULL",
IF(DataCD[Device Type]=ColumnCD[[#This Row],[Metric]],
DataCD[Brand Safety 
'[% Failed by Blacklist']]*
SUBTOTAL(9,OFFSET(DataCD[Total Impressions],ROW(DataCD[Total Impressions])-MIN(ROW(DataCD[Total Impressions])),0,1)))))
/
SUM(
IF(DataCD[Brand Safety 
'[% Failed by Blacklist']]&lt;&gt;"NULL",
IF(DataCD[Device Type]=ColumnCD[[#This Row],[Metric]],
SUBTOTAL(9,OFFSET(DataCD[Total Impressions],ROW(DataCD[Total Impressions])-MIN(ROW(DataCD[Total Impressions])),0,1)))))</f>
        <v>0.01</v>
      </c>
      <c r="S10" s="32">
        <f t="array" aca="1" ref="S10" ca="1">SUM(
IF(DataCD[Brand Safety 
'[% Failed by Language']]&lt;&gt;"NULL",
IF(DataCD[Device Type]=ColumnCD[[#This Row],[Metric]],
DataCD[Brand Safety 
'[% Failed by Language']]*
SUBTOTAL(9,OFFSET(DataCD[Total Impressions],ROW(DataCD[Total Impressions])-MIN(ROW(DataCD[Total Impressions])),0,1)))))
/
SUM(
IF(DataCD[Brand Safety 
'[% Failed by Language']]&lt;&gt;"NULL",
IF(DataCD[Device Type]=ColumnCD[[#This Row],[Metric]],
SUBTOTAL(9,OFFSET(DataCD[Total Impressions],ROW(DataCD[Total Impressions])-MIN(ROW(DataCD[Total Impressions])),0,1)))))</f>
        <v>0.01</v>
      </c>
      <c r="T10" s="32">
        <f t="array" aca="1" ref="T10" ca="1">SUM(
IF(DataCD[Fraud 
'[% Fraud']]&lt;&gt;"NULL",
IF(DataCD[Device Type]=ColumnCD[[#This Row],[Metric]],
DataCD[Fraud 
'[% Fraud']]*
SUBTOTAL(9,OFFSET(DataCD[Total Impressions],ROW(DataCD[Total Impressions])-MIN(ROW(DataCD[Total Impressions])),0,1)))))
/
SUM(
IF(DataCD[Fraud 
'[% Fraud']]&lt;&gt;"NULL",
IF(DataCD[Device Type]=ColumnCD[[#This Row],[Metric]],
SUBTOTAL(9,OFFSET(DataCD[Total Impressions],ROW(DataCD[Total Impressions])-MIN(ROW(DataCD[Total Impressions])),0,1)))))</f>
        <v>0.03</v>
      </c>
      <c r="U10" s="32">
        <f t="array" aca="1" ref="U10" ca="1">SUM(
IF(DataCD[Viewability 
'[Total Viewable Rate (Total Net Metrics)']]&lt;&gt;"NULL",
IF(DataCD[Device Type]=ColumnCD[[#This Row],[Metric]],
DataCD[Viewability 
'[Total Viewable Rate (Total Net Metrics)']]*
SUBTOTAL(9,OFFSET(DataCD[Total Impressions],ROW(DataCD[Total Impressions])-MIN(ROW(DataCD[Total Impressions])),0,1)))))
/
SUM(
IF(DataCD[Viewability 
'[Total Viewable Rate (Total Net Metrics)']]&lt;&gt;"NULL",
IF(DataCD[Device Type]=ColumnCD[[#This Row],[Metric]],
SUBTOTAL(9,OFFSET(DataCD[Total Impressions],ROW(DataCD[Total Impressions])-MIN(ROW(DataCD[Total Impressions])),0,1)))))</f>
        <v>0.55000000000000004</v>
      </c>
      <c r="V10" s="32">
        <f t="array" aca="1" ref="V10" ca="1">SUM(
IF(DataCD[Display Viewability 
'[Total Viewable Rate (Total Net Metrics)']]&lt;&gt;"NULL",
IF(DataCD[Device Type]=ColumnCD[[#This Row],[Metric]],
DataCD[Display Viewability 
'[Total Viewable Rate (Total Net Metrics)']]*
SUBTOTAL(9,OFFSET(DataCD[Total Impressions],ROW(DataCD[Total Impressions])-MIN(ROW(DataCD[Total Impressions])),0,1)))))
/
SUM(
IF(DataCD[Display Viewability 
'[Total Viewable Rate (Total Net Metrics)']]&lt;&gt;"NULL",
IF(DataCD[Device Type]=ColumnCD[[#This Row],[Metric]],
SUBTOTAL(9,OFFSET(DataCD[Total Impressions],ROW(DataCD[Total Impressions])-MIN(ROW(DataCD[Total Impressions])),0,1)))))</f>
        <v>0.59999999999999987</v>
      </c>
      <c r="W10" s="32">
        <f t="array" aca="1" ref="W10" ca="1">SUM(
IF(DataCD[Video Viewability 
'[Total Viewable Rate (Total Net Metrics)']]&lt;&gt;"NULL",
IF(DataCD[Device Type]=ColumnCD[[#This Row],[Metric]],
DataCD[Video Viewability 
'[Total Viewable Rate (Total Net Metrics)']]*
SUBTOTAL(9,OFFSET(DataCD[Total Impressions],ROW(DataCD[Total Impressions])-MIN(ROW(DataCD[Total Impressions])),0,1)))))
/
SUM(
IF(DataCD[Video Viewability 
'[Total Viewable Rate (Total Net Metrics)']]&lt;&gt;"NULL",
IF(DataCD[Device Type]=ColumnCD[[#This Row],[Metric]],
SUBTOTAL(9,OFFSET(DataCD[Total Impressions],ROW(DataCD[Total Impressions])-MIN(ROW(DataCD[Total Impressions])),0,1)))))</f>
        <v>0.5</v>
      </c>
      <c r="X10" s="32">
        <f t="array" aca="1" ref="X10" ca="1">SUM(
IF(DataCD[GroupM Viewability 
'[% Display Ads Fully in View']]&lt;&gt;"NULL",
IF(DataCD[Device Type]=ColumnCD[[#This Row],[Metric]],
DataCD[GroupM Viewability 
'[% Display Ads Fully in View']]*
SUBTOTAL(9,OFFSET(DataCD[Total Impressions],ROW(DataCD[Total Impressions])-MIN(ROW(DataCD[Total Impressions])),0,1)))))
/
SUM(
IF(DataCD[GroupM Viewability 
'[% Display Ads Fully in View']]&lt;&gt;"NULL",
IF(DataCD[Device Type]=ColumnCD[[#This Row],[Metric]],
SUBTOTAL(9,OFFSET(DataCD[Total Impressions],ROW(DataCD[Total Impressions])-MIN(ROW(DataCD[Total Impressions])),0,1)))))</f>
        <v>0.35</v>
      </c>
      <c r="Y10" s="32">
        <f t="array" aca="1" ref="Y10" ca="1">SUM(
IF(DataCD[GroupM Viewability 
'[% Videos Fully in View']]&lt;&gt;"NULL",
IF(DataCD[Device Type]=ColumnCD[[#This Row],[Metric]],
DataCD[GroupM Viewability 
'[% Videos Fully in View']]*
SUBTOTAL(9,OFFSET(DataCD[Total Impressions],ROW(DataCD[Total Impressions])-MIN(ROW(DataCD[Total Impressions])),0,1)))))
/
SUM(
IF(DataCD[GroupM Viewability 
'[% Videos Fully in View']]&lt;&gt;"NULL",
IF(DataCD[Device Type]=ColumnCD[[#This Row],[Metric]],
SUBTOTAL(9,OFFSET(DataCD[Total Impressions],ROW(DataCD[Total Impressions])-MIN(ROW(DataCD[Total Impressions])),0,1)))))</f>
        <v>0.25</v>
      </c>
      <c r="Z10" s="32">
        <f t="array" aca="1" ref="Z10" ca="1">SUM(
IF(DataCD[Publicis Viewability 
'[% Display Ads Fully in View']]&lt;&gt;"NULL",
IF(DataCD[Device Type]=ColumnCD[[#This Row],[Metric]],
DataCD[Publicis Viewability 
'[% Display Ads Fully in View']]*
SUBTOTAL(9,OFFSET(DataCD[Total Impressions],ROW(DataCD[Total Impressions])-MIN(ROW(DataCD[Total Impressions])),0,1)))))
/
SUM(
IF(DataCD[Publicis Viewability 
'[% Display Ads Fully in View']]&lt;&gt;"NULL",
IF(DataCD[Device Type]=ColumnCD[[#This Row],[Metric]],
SUBTOTAL(9,OFFSET(DataCD[Total Impressions],ROW(DataCD[Total Impressions])-MIN(ROW(DataCD[Total Impressions])),0,1)))))</f>
        <v>0.35</v>
      </c>
      <c r="AA10" s="32">
        <f t="array" aca="1" ref="AA10" ca="1">SUM(
IF(DataCD[Publicis Viewability 
'[% Videos Fully in View']]&lt;&gt;"NULL",
IF(DataCD[Device Type]=ColumnCD[[#This Row],[Metric]],
DataCD[Publicis Viewability 
'[% Videos Fully in View']]*
SUBTOTAL(9,OFFSET(DataCD[Total Impressions],ROW(DataCD[Total Impressions])-MIN(ROW(DataCD[Total Impressions])),0,1)))))
/
SUM(
IF(DataCD[Publicis Viewability 
'[% Videos Fully in View']]&lt;&gt;"NULL",
IF(DataCD[Device Type]=ColumnCD[[#This Row],[Metric]],
SUBTOTAL(9,OFFSET(DataCD[Total Impressions],ROW(DataCD[Total Impressions])-MIN(ROW(DataCD[Total Impressions])),0,1)))))</f>
        <v>0.25</v>
      </c>
    </row>
    <row r="11" spans="1:121" s="18" customFormat="1" ht="16.5" hidden="1" customHeight="1" x14ac:dyDescent="0.35">
      <c r="A11" s="71"/>
      <c r="B11" s="66"/>
      <c r="C11" s="66"/>
      <c r="D11" s="66"/>
      <c r="E11" s="68"/>
      <c r="F11" s="68"/>
      <c r="G11" s="115" t="s">
        <v>14</v>
      </c>
      <c r="H11" s="115"/>
      <c r="I11" s="116"/>
      <c r="J11" s="101" t="s">
        <v>140</v>
      </c>
      <c r="K11" s="31" t="e">
        <f t="array" aca="1" ref="K11" ca="1">SUM(
IF(DataCD[Measured Rate 
'[% Measured']]&lt;&gt;"NULL",
IF(DataCD[Brand]=ColumnCD[[#This Row],[Metric]],
DataCD[Measured Rate 
'[% Measured']]*
SUBTOTAL(9,OFFSET(DataCD[Total Impressions],ROW(DataCD[Total Impressions])-MIN(ROW(DataCD[Total Impressions])),0,1)))))
/
SUM(
IF(DataCD[Measured Rate 
'[% Measured']]&lt;&gt;"NULL",
IF(DataCD[Brand]=ColumnCD[[#This Row],[Metric]],
SUBTOTAL(9,OFFSET(DataCD[Total Impressions],ROW(DataCD[Total Impressions])-MIN(ROW(DataCD[Total Impressions])),0,1)))))</f>
        <v>#DIV/0!</v>
      </c>
      <c r="L11" s="32" t="e">
        <f t="array" aca="1" ref="L11" ca="1">SUM(
IF(DataCD[See-Through Rate 
'[% Visible']]&lt;&gt;"NULL",
IF(DataCD[Brand]=ColumnCD[[#This Row],[Metric]],
DataCD[See-Through Rate 
'[% Visible']]*
SUBTOTAL(9,OFFSET(DataCD[Total Impressions],ROW(DataCD[Total Impressions])-MIN(ROW(DataCD[Total Impressions])),0,1)))))
/
SUM(
IF(DataCD[See-Through Rate 
'[% Visible']]&lt;&gt;"NULL",
IF(DataCD[Brand]=ColumnCD[[#This Row],[Metric]],
SUBTOTAL(9,OFFSET(DataCD[Total Impressions],ROW(DataCD[Total Impressions])-MIN(ROW(DataCD[Total Impressions])),0,1)))))</f>
        <v>#DIV/0!</v>
      </c>
      <c r="M11" s="32" t="e">
        <f t="array" aca="1" ref="M11" ca="1">SUM(
IF(DataCD[Brand Safety 
'[% Passed']]&lt;&gt;"NULL",
IF(DataCD[Brand]=ColumnCD[[#This Row],[Metric]],
DataCD[Brand Safety 
'[% Passed']]*
SUBTOTAL(9,OFFSET(DataCD[Total Impressions],ROW(DataCD[Total Impressions])-MIN(ROW(DataCD[Total Impressions])),0,1)))))
/
SUM(
IF(DataCD[Brand Safety 
'[% Passed']]&lt;&gt;"NULL",
IF(DataCD[Brand]=ColumnCD[[#This Row],[Metric]],
SUBTOTAL(9,OFFSET(DataCD[Total Impressions],ROW(DataCD[Total Impressions])-MIN(ROW(DataCD[Total Impressions])),0,1)))))</f>
        <v>#DIV/0!</v>
      </c>
      <c r="N11" s="32" t="e">
        <f t="array" aca="1" ref="N11" ca="1">SUM(
IF(DataCD[Brand Safety 
'[% Failed']]&lt;&gt;"NULL",
IF(DataCD[Brand]=ColumnCD[[#This Row],[Metric]],
DataCD[Brand Safety 
'[% Failed']]*
SUBTOTAL(9,OFFSET(DataCD[Total Impressions],ROW(DataCD[Total Impressions])-MIN(ROW(DataCD[Total Impressions])),0,1)))))
/
SUM(
IF(DataCD[Brand Safety 
'[% Failed']]&lt;&gt;"NULL",
IF(DataCD[Brand]=ColumnCD[[#This Row],[Metric]],
SUBTOTAL(9,OFFSET(DataCD[Total Impressions],ROW(DataCD[Total Impressions])-MIN(ROW(DataCD[Total Impressions])),0,1)))))</f>
        <v>#DIV/0!</v>
      </c>
      <c r="O11" s="32" t="e">
        <f t="array" aca="1" ref="O11" ca="1">SUM(
IF(DataCD[Brand Safety 
'[% Failed by Content']]&lt;&gt;"NULL",
IF(DataCD[Brand]=ColumnCD[[#This Row],[Metric]],
DataCD[Brand Safety 
'[% Failed by Content']]*
SUBTOTAL(9,OFFSET(DataCD[Total Impressions],ROW(DataCD[Total Impressions])-MIN(ROW(DataCD[Total Impressions])),0,1)))))
/
SUM(
IF(DataCD[Brand Safety 
'[% Failed by Content']]&lt;&gt;"NULL",
IF(DataCD[Brand]=ColumnCD[[#This Row],[Metric]],
SUBTOTAL(9,OFFSET(DataCD[Total Impressions],ROW(DataCD[Total Impressions])-MIN(ROW(DataCD[Total Impressions])),0,1)))))</f>
        <v>#DIV/0!</v>
      </c>
      <c r="P11" s="32" t="e">
        <f t="array" aca="1" ref="P11" ca="1">SUM(
IF(DataCD[Brand Safety 
'[% Failed by Geo']]&lt;&gt;"NULL",
IF(DataCD[Brand]=ColumnCD[[#This Row],[Metric]],
DataCD[Brand Safety 
'[% Failed by Geo']]*
SUBTOTAL(9,OFFSET(DataCD[Total Impressions],ROW(DataCD[Total Impressions])-MIN(ROW(DataCD[Total Impressions])),0,1)))))
/
SUM(
IF(DataCD[Brand Safety 
'[% Failed by Geo']]&lt;&gt;"NULL",
IF(DataCD[Brand]=ColumnCD[[#This Row],[Metric]],
SUBTOTAL(9,OFFSET(DataCD[Total Impressions],ROW(DataCD[Total Impressions])-MIN(ROW(DataCD[Total Impressions])),0,1)))))</f>
        <v>#DIV/0!</v>
      </c>
      <c r="Q11" s="32" t="e">
        <f t="array" aca="1" ref="Q11" ca="1">SUM(
IF(DataCD[Brand Safety 
'[% Failed by Keyword']]&lt;&gt;"NULL",
IF(DataCD[Brand]=ColumnCD[[#This Row],[Metric]],
DataCD[Brand Safety 
'[% Failed by Keyword']]*
SUBTOTAL(9,OFFSET(DataCD[Total Impressions],ROW(DataCD[Total Impressions])-MIN(ROW(DataCD[Total Impressions])),0,1)))))
/
SUM(
IF(DataCD[Brand Safety 
'[% Failed by Keyword']]&lt;&gt;"NULL",
IF(DataCD[Brand]=ColumnCD[[#This Row],[Metric]],
SUBTOTAL(9,OFFSET(DataCD[Total Impressions],ROW(DataCD[Total Impressions])-MIN(ROW(DataCD[Total Impressions])),0,1)))))</f>
        <v>#DIV/0!</v>
      </c>
      <c r="R11" s="32" t="e">
        <f t="array" aca="1" ref="R11" ca="1">SUM(
IF(DataCD[Brand Safety 
'[% Failed by Blacklist']]&lt;&gt;"NULL",
IF(DataCD[Brand]=ColumnCD[[#This Row],[Metric]],
DataCD[Brand Safety 
'[% Failed by Blacklist']]*
SUBTOTAL(9,OFFSET(DataCD[Total Impressions],ROW(DataCD[Total Impressions])-MIN(ROW(DataCD[Total Impressions])),0,1)))))
/
SUM(
IF(DataCD[Brand Safety 
'[% Failed by Blacklist']]&lt;&gt;"NULL",
IF(DataCD[Brand]=ColumnCD[[#This Row],[Metric]],
SUBTOTAL(9,OFFSET(DataCD[Total Impressions],ROW(DataCD[Total Impressions])-MIN(ROW(DataCD[Total Impressions])),0,1)))))</f>
        <v>#DIV/0!</v>
      </c>
      <c r="S11" s="32" t="e">
        <f t="array" aca="1" ref="S11" ca="1">SUM(
IF(DataCD[Brand Safety 
'[% Failed by Language']]&lt;&gt;"NULL",
IF(DataCD[Brand]=ColumnCD[[#This Row],[Metric]],
DataCD[Brand Safety 
'[% Failed by Language']]*
SUBTOTAL(9,OFFSET(DataCD[Total Impressions],ROW(DataCD[Total Impressions])-MIN(ROW(DataCD[Total Impressions])),0,1)))))
/
SUM(
IF(DataCD[Brand Safety 
'[% Failed by Language']]&lt;&gt;"NULL",
IF(DataCD[Brand]=ColumnCD[[#This Row],[Metric]],
SUBTOTAL(9,OFFSET(DataCD[Total Impressions],ROW(DataCD[Total Impressions])-MIN(ROW(DataCD[Total Impressions])),0,1)))))</f>
        <v>#DIV/0!</v>
      </c>
      <c r="T11" s="32" t="e">
        <f t="array" aca="1" ref="T11" ca="1">SUM(
IF(DataCD[Fraud 
'[% Fraud']]&lt;&gt;"NULL",
IF(DataCD[Brand]=ColumnCD[[#This Row],[Metric]],
DataCD[Fraud 
'[% Fraud']]*
SUBTOTAL(9,OFFSET(DataCD[Total Impressions],ROW(DataCD[Total Impressions])-MIN(ROW(DataCD[Total Impressions])),0,1)))))
/
SUM(
IF(DataCD[Fraud 
'[% Fraud']]&lt;&gt;"NULL",
IF(DataCD[Brand]=ColumnCD[[#This Row],[Metric]],
SUBTOTAL(9,OFFSET(DataCD[Total Impressions],ROW(DataCD[Total Impressions])-MIN(ROW(DataCD[Total Impressions])),0,1)))))</f>
        <v>#DIV/0!</v>
      </c>
      <c r="U11" s="32" t="e">
        <f t="array" aca="1" ref="U11" ca="1">SUM(
IF(DataCD[Viewability 
'[Total Viewable Rate (Total Net Metrics)']]&lt;&gt;"NULL",
IF(DataCD[Brand]=ColumnCD[[#This Row],[Metric]],
DataCD[Viewability 
'[Total Viewable Rate (Total Net Metrics)']]*
SUBTOTAL(9,OFFSET(DataCD[Total Impressions],ROW(DataCD[Total Impressions])-MIN(ROW(DataCD[Total Impressions])),0,1)))))
/
SUM(
IF(DataCD[Viewability 
'[Total Viewable Rate (Total Net Metrics)']]&lt;&gt;"NULL",
IF(DataCD[Brand]=ColumnCD[[#This Row],[Metric]],
SUBTOTAL(9,OFFSET(DataCD[Total Impressions],ROW(DataCD[Total Impressions])-MIN(ROW(DataCD[Total Impressions])),0,1)))))</f>
        <v>#DIV/0!</v>
      </c>
      <c r="V11" s="32" t="e">
        <f t="array" aca="1" ref="V11" ca="1">SUM(
IF(DataCD[Display Viewability 
'[Total Viewable Rate (Total Net Metrics)']]&lt;&gt;"NULL",
IF(DataCD[Brand]=ColumnCD[[#This Row],[Metric]],
DataCD[Display Viewability 
'[Total Viewable Rate (Total Net Metrics)']]*
SUBTOTAL(9,OFFSET(DataCD[Total Impressions],ROW(DataCD[Total Impressions])-MIN(ROW(DataCD[Total Impressions])),0,1)))))
/
SUM(
IF(DataCD[Display Viewability 
'[Total Viewable Rate (Total Net Metrics)']]&lt;&gt;"NULL",
IF(DataCD[Brand]=ColumnCD[[#This Row],[Metric]],
SUBTOTAL(9,OFFSET(DataCD[Total Impressions],ROW(DataCD[Total Impressions])-MIN(ROW(DataCD[Total Impressions])),0,1)))))</f>
        <v>#DIV/0!</v>
      </c>
      <c r="W11" s="32" t="e">
        <f t="array" aca="1" ref="W11" ca="1">SUM(
IF(DataCD[Video Viewability 
'[Total Viewable Rate (Total Net Metrics)']]&lt;&gt;"NULL",
IF(DataCD[Brand]=ColumnCD[[#This Row],[Metric]],
DataCD[Video Viewability 
'[Total Viewable Rate (Total Net Metrics)']]*
SUBTOTAL(9,OFFSET(DataCD[Total Impressions],ROW(DataCD[Total Impressions])-MIN(ROW(DataCD[Total Impressions])),0,1)))))
/
SUM(
IF(DataCD[Video Viewability 
'[Total Viewable Rate (Total Net Metrics)']]&lt;&gt;"NULL",
IF(DataCD[Brand]=ColumnCD[[#This Row],[Metric]],
SUBTOTAL(9,OFFSET(DataCD[Total Impressions],ROW(DataCD[Total Impressions])-MIN(ROW(DataCD[Total Impressions])),0,1)))))</f>
        <v>#DIV/0!</v>
      </c>
      <c r="X11" s="32" t="e">
        <f t="array" aca="1" ref="X11" ca="1">SUM(
IF(DataCD[GroupM Viewability 
'[% Display Ads Fully in View']]&lt;&gt;"NULL",
IF(DataCD[Brand]=ColumnCD[[#This Row],[Metric]],
DataCD[GroupM Viewability 
'[% Display Ads Fully in View']]*
SUBTOTAL(9,OFFSET(DataCD[Total Impressions],ROW(DataCD[Total Impressions])-MIN(ROW(DataCD[Total Impressions])),0,1)))))
/
SUM(
IF(DataCD[GroupM Viewability 
'[% Display Ads Fully in View']]&lt;&gt;"NULL",
IF(DataCD[Brand]=ColumnCD[[#This Row],[Metric]],
SUBTOTAL(9,OFFSET(DataCD[Total Impressions],ROW(DataCD[Total Impressions])-MIN(ROW(DataCD[Total Impressions])),0,1)))))</f>
        <v>#DIV/0!</v>
      </c>
      <c r="Y11" s="32" t="e">
        <f t="array" aca="1" ref="Y11" ca="1">SUM(
IF(DataCD[GroupM Viewability 
'[% Videos Fully in View']]&lt;&gt;"NULL",
IF(DataCD[Brand]=ColumnCD[[#This Row],[Metric]],
DataCD[GroupM Viewability 
'[% Videos Fully in View']]*
SUBTOTAL(9,OFFSET(DataCD[Total Impressions],ROW(DataCD[Total Impressions])-MIN(ROW(DataCD[Total Impressions])),0,1)))))
/
SUM(
IF(DataCD[GroupM Viewability 
'[% Videos Fully in View']]&lt;&gt;"NULL",
IF(DataCD[Brand]=ColumnCD[[#This Row],[Metric]],
SUBTOTAL(9,OFFSET(DataCD[Total Impressions],ROW(DataCD[Total Impressions])-MIN(ROW(DataCD[Total Impressions])),0,1)))))</f>
        <v>#DIV/0!</v>
      </c>
      <c r="Z11" s="32" t="e">
        <f t="array" aca="1" ref="Z11" ca="1">SUM(
IF(DataCD[Publicis Viewability 
'[% Display Ads Fully in View']]&lt;&gt;"NULL",
IF(DataCD[Brand]=ColumnCD[[#This Row],[Metric]],
DataCD[Publicis Viewability 
'[% Display Ads Fully in View']]*
SUBTOTAL(9,OFFSET(DataCD[Total Impressions],ROW(DataCD[Total Impressions])-MIN(ROW(DataCD[Total Impressions])),0,1)))))
/
SUM(
IF(DataCD[Publicis Viewability 
'[% Display Ads Fully in View']]&lt;&gt;"NULL",
IF(DataCD[Brand]=ColumnCD[[#This Row],[Metric]],
SUBTOTAL(9,OFFSET(DataCD[Total Impressions],ROW(DataCD[Total Impressions])-MIN(ROW(DataCD[Total Impressions])),0,1)))))</f>
        <v>#DIV/0!</v>
      </c>
      <c r="AA11" s="32" t="e">
        <f t="array" aca="1" ref="AA11" ca="1">SUM(
IF(DataCD[Publicis Viewability 
'[% Videos Fully in View']]&lt;&gt;"NULL",
IF(DataCD[Brand]=ColumnCD[[#This Row],[Metric]],
DataCD[Publicis Viewability 
'[% Videos Fully in View']]*
SUBTOTAL(9,OFFSET(DataCD[Total Impressions],ROW(DataCD[Total Impressions])-MIN(ROW(DataCD[Total Impressions])),0,1)))))
/
SUM(
IF(DataCD[Publicis Viewability 
'[% Videos Fully in View']]&lt;&gt;"NULL",
IF(DataCD[Brand]=ColumnCD[[#This Row],[Metric]],
SUBTOTAL(9,OFFSET(DataCD[Total Impressions],ROW(DataCD[Total Impressions])-MIN(ROW(DataCD[Total Impressions])),0,1)))))</f>
        <v>#DIV/0!</v>
      </c>
    </row>
    <row r="12" spans="1:121" s="18" customFormat="1" ht="16.5" hidden="1" customHeight="1" x14ac:dyDescent="0.35">
      <c r="A12" s="233"/>
      <c r="B12" s="234"/>
      <c r="C12" s="234"/>
      <c r="D12" s="234"/>
      <c r="E12" s="28"/>
      <c r="F12" s="28"/>
      <c r="G12" s="227" t="s">
        <v>8</v>
      </c>
      <c r="H12" s="227"/>
      <c r="I12" s="256"/>
      <c r="J12" s="105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</row>
    <row r="13" spans="1:121" s="18" customFormat="1" ht="16.5" hidden="1" customHeight="1" x14ac:dyDescent="0.35">
      <c r="A13" s="22"/>
      <c r="B13" s="69"/>
      <c r="C13" s="69"/>
      <c r="D13" s="33"/>
      <c r="E13" s="28"/>
      <c r="F13" s="28"/>
      <c r="G13" s="227" t="s">
        <v>8</v>
      </c>
      <c r="H13" s="227"/>
      <c r="I13" s="256"/>
      <c r="J13" s="106" t="s">
        <v>6</v>
      </c>
      <c r="K13" s="107">
        <v>0</v>
      </c>
      <c r="L13" s="107">
        <v>0</v>
      </c>
      <c r="M13" s="107">
        <v>0</v>
      </c>
      <c r="N13" s="107">
        <v>0</v>
      </c>
      <c r="O13" s="107">
        <v>0</v>
      </c>
      <c r="P13" s="107">
        <v>0</v>
      </c>
      <c r="Q13" s="107">
        <v>0</v>
      </c>
      <c r="R13" s="107">
        <v>0</v>
      </c>
      <c r="S13" s="107">
        <v>0</v>
      </c>
      <c r="T13" s="107">
        <v>0</v>
      </c>
      <c r="U13" s="107">
        <v>0</v>
      </c>
      <c r="V13" s="107">
        <v>0</v>
      </c>
      <c r="W13" s="107">
        <v>0</v>
      </c>
      <c r="X13" s="107">
        <v>0</v>
      </c>
      <c r="Y13" s="107">
        <v>0</v>
      </c>
      <c r="Z13" s="107">
        <v>1</v>
      </c>
      <c r="AA13" s="107">
        <v>0</v>
      </c>
    </row>
    <row r="14" spans="1:121" s="18" customFormat="1" ht="15.75" customHeight="1" thickBot="1" x14ac:dyDescent="0.4">
      <c r="B14" s="36"/>
      <c r="C14" s="36"/>
      <c r="D14" s="22"/>
      <c r="E14" s="13" t="s">
        <v>21</v>
      </c>
      <c r="F14" s="13" t="s">
        <v>21</v>
      </c>
      <c r="G14" s="55"/>
      <c r="H14" s="13" t="s">
        <v>21</v>
      </c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31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tr">
        <f>IFERROR(
IF(DataCD[[#Headers],[Brand]]="Brand",VLOOKUP(DataCD[[#This Row],[Campaign]],Map_Campaign[],2,0),
IF(DataCD[[#Headers],[Brand]]="Region (Team)",VLOOKUP(DataCD[[#This Row],[Team]],Map_Team[],2,0),
IF(DataCD[[#Headers],[Brand]]="Region (Campaign)",VLOOKUP(DataCD[[#This Row],[Campaign]],Map_Campaign[],3,0),
IF(DataCD[[#Headers],[Brand]]="Partner Type",VLOOKUP(DataCD[[#This Row],[Partner]],Map_Partner[],2,0),
IF(DataCD[[#Headers],[Brand]]="Device Type",VLOOKUP(DataCD[[#This Row],[Placement]],Map_Placement[],3,0),
IF(DataCD[[#Headers],[Brand]]="Creative Size",VLOOKUP(DataCD[[#This Row],[Placement]],Map_Placement[],2,0),"Not a mapping option.")))))),
"[Unmapped]")</f>
        <v>[Unmapped]</v>
      </c>
      <c r="C16" s="45" t="s">
        <v>10</v>
      </c>
      <c r="D16" s="46" t="s">
        <v>153</v>
      </c>
      <c r="E16" s="46" t="s">
        <v>10</v>
      </c>
      <c r="F16" s="46" t="s">
        <v>10</v>
      </c>
      <c r="G16" s="46" t="s">
        <v>126</v>
      </c>
      <c r="H16" s="46" t="s">
        <v>124</v>
      </c>
      <c r="I16" s="47">
        <v>292953764</v>
      </c>
      <c r="J16" s="48">
        <v>450881961</v>
      </c>
      <c r="K16" s="49">
        <v>0.7</v>
      </c>
      <c r="L16" s="49">
        <v>0.98</v>
      </c>
      <c r="M16" s="49">
        <v>0.95</v>
      </c>
      <c r="N16" s="49">
        <v>0.05</v>
      </c>
      <c r="O16" s="49">
        <v>0.02</v>
      </c>
      <c r="P16" s="49">
        <v>0.02</v>
      </c>
      <c r="Q16" s="49">
        <v>0.01</v>
      </c>
      <c r="R16" s="49">
        <v>0.01</v>
      </c>
      <c r="S16" s="49">
        <v>0.01</v>
      </c>
      <c r="T16" s="49">
        <v>0.03</v>
      </c>
      <c r="U16" s="49">
        <v>0.55000000000000004</v>
      </c>
      <c r="V16" s="49">
        <v>0.6</v>
      </c>
      <c r="W16" s="49">
        <v>0.5</v>
      </c>
      <c r="X16" s="49">
        <v>0.35</v>
      </c>
      <c r="Y16" s="49">
        <v>0.25</v>
      </c>
      <c r="Z16" s="49">
        <v>0.35</v>
      </c>
      <c r="AA16" s="49">
        <v>0.25</v>
      </c>
    </row>
    <row r="17" spans="2:121" s="11" customFormat="1" ht="15" customHeight="1" x14ac:dyDescent="0.25">
      <c r="B17" s="50"/>
      <c r="C17" s="50"/>
      <c r="D17" s="50"/>
      <c r="E17" s="50"/>
      <c r="F17" s="50"/>
      <c r="G17" s="50"/>
      <c r="H17" s="50"/>
      <c r="I17" s="10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5"/>
    </row>
    <row r="18" spans="2:121" s="11" customFormat="1" ht="15" customHeight="1" x14ac:dyDescent="0.25">
      <c r="B18" s="50"/>
      <c r="C18" s="50"/>
      <c r="D18" s="50"/>
      <c r="E18" s="50"/>
      <c r="F18" s="50"/>
      <c r="G18" s="50"/>
      <c r="H18" s="50"/>
      <c r="I18" s="10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5"/>
    </row>
    <row r="21" spans="2:121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7">
    <mergeCell ref="G7:I7"/>
    <mergeCell ref="G6:I6"/>
    <mergeCell ref="A12:D12"/>
    <mergeCell ref="B7:D7"/>
    <mergeCell ref="G13:I13"/>
    <mergeCell ref="G12:I12"/>
    <mergeCell ref="G8:I8"/>
  </mergeCells>
  <conditionalFormatting sqref="K16:AA16">
    <cfRule type="cellIs" dxfId="191" priority="8" operator="equal">
      <formula>""</formula>
    </cfRule>
  </conditionalFormatting>
  <conditionalFormatting sqref="A1:XFD6 B9:XFD9 A10:XFD1048576 A8:XFD8 A7:J7 AB7:XFD7">
    <cfRule type="expression" dxfId="190" priority="7">
      <formula>ISERROR(A1)</formula>
    </cfRule>
  </conditionalFormatting>
  <conditionalFormatting sqref="K16:AA16 K9:AA11">
    <cfRule type="expression" dxfId="189" priority="10">
      <formula>IF(K$7="N/A",0,IF(K$7="Above",K9&lt;=(1-$J$4)*K$8,K9&gt;=(1+$J$4)*K$8))</formula>
    </cfRule>
    <cfRule type="expression" dxfId="188" priority="11">
      <formula>IF(OR(K$7="N/A",K9=0),0,IF(K$7="Above",K9&gt;=(1+$J$3)*K$8,K9&lt;=(1-$J$3)*K$8))</formula>
    </cfRule>
  </conditionalFormatting>
  <conditionalFormatting sqref="K7:AA7">
    <cfRule type="expression" dxfId="187" priority="1">
      <formula>ISERROR(K7)</formula>
    </cfRule>
  </conditionalFormatting>
  <dataValidations count="8">
    <dataValidation allowBlank="1" showInputMessage="1" showErrorMessage="1" errorTitle="Invalid Entry" error="Please select/enter a value from 1 to 5 from the dropdown." sqref="J9 K10:AA11 J11 G9 G11 AB12:XFD13 A13:D13" xr:uid="{00000000-0002-0000-0600-000000000000}"/>
    <dataValidation type="list" allowBlank="1" showInputMessage="1" showErrorMessage="1" errorTitle="Invalid Entry" error="Please select/enter a value from 1 to 5 from the dropdown." sqref="J10" xr:uid="{00000000-0002-0000-06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600-000002000000}">
      <formula1>"0,1,2,3,4,5"</formula1>
    </dataValidation>
    <dataValidation type="list" allowBlank="1" showInputMessage="1" showErrorMessage="1" sqref="B15" xr:uid="{00000000-0002-0000-0600-000003000000}">
      <formula1>"Brand, Region (Team), Region (Campaign)"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600-000005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600-000006000000}"/>
    <dataValidation allowBlank="1" showInputMessage="1" showErrorMessage="1" prompt="Cell will highlight red if performance deviates by more than this percentage of the client goal." sqref="J4" xr:uid="{00000000-0002-0000-0600-000007000000}"/>
    <dataValidation type="list" allowBlank="1" showInputMessage="1" showErrorMessage="1" sqref="X27" xr:uid="{00000000-0002-0000-0600-000004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7A1F0ED4-4DAA-4903-BC1A-70ACBADA41B8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4" width="30.453125" style="50" hidden="1" customWidth="1"/>
    <col min="5" max="5" width="49" style="50" customWidth="1"/>
    <col min="6" max="6" width="30.54296875" style="50" hidden="1" customWidth="1"/>
    <col min="7" max="7" width="21.7265625" style="50" customWidth="1"/>
    <col min="8" max="8" width="20.54296875" style="50" hidden="1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2"/>
      <c r="E1" s="52"/>
      <c r="F1" s="13" t="s">
        <v>21</v>
      </c>
      <c r="G1" s="52"/>
      <c r="H1" s="13" t="s">
        <v>21</v>
      </c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2"/>
      <c r="E2" s="52"/>
      <c r="F2" s="16"/>
      <c r="G2" s="52"/>
      <c r="H2" s="16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2"/>
      <c r="E3" s="52"/>
      <c r="F3" s="16"/>
      <c r="G3" s="52"/>
      <c r="H3" s="16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2"/>
      <c r="E4" s="52"/>
      <c r="F4" s="16"/>
      <c r="G4" s="52"/>
      <c r="H4" s="16"/>
      <c r="I4" s="16"/>
      <c r="J4" s="77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2"/>
      <c r="E5" s="52"/>
      <c r="F5" s="16"/>
      <c r="G5" s="52"/>
      <c r="H5" s="16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6" t="s">
        <v>155</v>
      </c>
      <c r="C6" s="76"/>
      <c r="D6" s="70" t="s">
        <v>155</v>
      </c>
      <c r="E6" s="79" t="s">
        <v>155</v>
      </c>
      <c r="F6" s="28"/>
      <c r="G6" s="253" t="s">
        <v>133</v>
      </c>
      <c r="H6" s="254"/>
      <c r="I6" s="255"/>
      <c r="J6" s="2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AB6" s="26"/>
    </row>
    <row r="7" spans="1:121" s="18" customFormat="1" ht="15" hidden="1" customHeight="1" thickBot="1" x14ac:dyDescent="0.4">
      <c r="A7" s="64"/>
      <c r="B7" s="65"/>
      <c r="C7" s="65"/>
      <c r="D7" s="65"/>
      <c r="E7" s="100"/>
      <c r="F7" s="28"/>
      <c r="G7" s="250" t="s">
        <v>132</v>
      </c>
      <c r="H7" s="251"/>
      <c r="I7" s="252"/>
      <c r="J7" s="54" t="s">
        <v>0</v>
      </c>
      <c r="K7" s="155" t="s">
        <v>2</v>
      </c>
      <c r="L7" s="155" t="s">
        <v>2</v>
      </c>
      <c r="M7" s="156" t="s">
        <v>2</v>
      </c>
      <c r="N7" s="156" t="s">
        <v>3</v>
      </c>
      <c r="O7" s="156" t="s">
        <v>3</v>
      </c>
      <c r="P7" s="156" t="s">
        <v>3</v>
      </c>
      <c r="Q7" s="29" t="s">
        <v>3</v>
      </c>
      <c r="R7" s="155" t="s">
        <v>3</v>
      </c>
      <c r="S7" s="155" t="s">
        <v>3</v>
      </c>
      <c r="T7" s="155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5" t="s">
        <v>2</v>
      </c>
      <c r="AA7" s="155" t="s">
        <v>2</v>
      </c>
      <c r="AB7" s="26"/>
    </row>
    <row r="8" spans="1:121" s="18" customFormat="1" ht="15.65" customHeight="1" x14ac:dyDescent="0.35">
      <c r="A8" s="22"/>
      <c r="B8" s="70"/>
      <c r="C8" s="70"/>
      <c r="D8" s="70"/>
      <c r="E8" s="80" t="str">
        <f ca="1">MID(CELL("filename",A1),FIND("]",CELL("filename",A1))+1,255)&amp;" Level Scorecard"</f>
        <v>Partner &amp; Device Level Scorecard</v>
      </c>
      <c r="F8" s="28"/>
      <c r="G8" s="230" t="s">
        <v>132</v>
      </c>
      <c r="H8" s="231"/>
      <c r="I8" s="257"/>
      <c r="J8" s="126" t="s">
        <v>16</v>
      </c>
      <c r="K8" s="127">
        <f>VLOOKUP(K6,Benchmark_Legend[],MATCH(ColumnPD[[#This Row],[Metric]],Benchmark_Legend[#Headers],0),0)</f>
        <v>0.7</v>
      </c>
      <c r="L8" s="127">
        <f>VLOOKUP(L6,Benchmark_Legend[],MATCH(ColumnPD[[#This Row],[Metric]],Benchmark_Legend[#Headers],0),0)</f>
        <v>0.98</v>
      </c>
      <c r="M8" s="127">
        <f>VLOOKUP(M6,Benchmark_Legend[],MATCH(ColumnPD[[#This Row],[Metric]],Benchmark_Legend[#Headers],0),0)</f>
        <v>0.95</v>
      </c>
      <c r="N8" s="127">
        <f>VLOOKUP(N6,Benchmark_Legend[],MATCH(ColumnPD[[#This Row],[Metric]],Benchmark_Legend[#Headers],0),0)</f>
        <v>0.05</v>
      </c>
      <c r="O8" s="127">
        <f>VLOOKUP(O6,Benchmark_Legend[],MATCH(ColumnPD[[#This Row],[Metric]],Benchmark_Legend[#Headers],0),0)</f>
        <v>0.02</v>
      </c>
      <c r="P8" s="127">
        <f>VLOOKUP(P6,Benchmark_Legend[],MATCH(ColumnPD[[#This Row],[Metric]],Benchmark_Legend[#Headers],0),0)</f>
        <v>0.02</v>
      </c>
      <c r="Q8" s="127">
        <f>VLOOKUP(Q6,Benchmark_Legend[],MATCH(ColumnPD[[#This Row],[Metric]],Benchmark_Legend[#Headers],0),0)</f>
        <v>0.01</v>
      </c>
      <c r="R8" s="127">
        <f>VLOOKUP(R6,Benchmark_Legend[],MATCH(ColumnPD[[#This Row],[Metric]],Benchmark_Legend[#Headers],0),0)</f>
        <v>0.01</v>
      </c>
      <c r="S8" s="127">
        <f>VLOOKUP(S6,Benchmark_Legend[],MATCH(ColumnPD[[#This Row],[Metric]],Benchmark_Legend[#Headers],0),0)</f>
        <v>0.01</v>
      </c>
      <c r="T8" s="127">
        <f>VLOOKUP(T6,Benchmark_Legend[],MATCH(ColumnPD[[#This Row],[Metric]],Benchmark_Legend[#Headers],0),0)</f>
        <v>0.03</v>
      </c>
      <c r="U8" s="127">
        <f>VLOOKUP(U6,Benchmark_Legend[],MATCH(ColumnPD[[#This Row],[Metric]],Benchmark_Legend[#Headers],0),0)</f>
        <v>0.55000000000000004</v>
      </c>
      <c r="V8" s="127">
        <f>VLOOKUP(V6,Benchmark_Legend[],MATCH(ColumnPD[[#This Row],[Metric]],Benchmark_Legend[#Headers],0),0)</f>
        <v>0.6</v>
      </c>
      <c r="W8" s="127">
        <f>VLOOKUP(W6,Benchmark_Legend[],MATCH(ColumnPD[[#This Row],[Metric]],Benchmark_Legend[#Headers],0),0)</f>
        <v>0.5</v>
      </c>
      <c r="X8" s="127">
        <f>VLOOKUP(X6,Benchmark_Legend[],MATCH(ColumnPD[[#This Row],[Metric]],Benchmark_Legend[#Headers],0),0)</f>
        <v>0.35</v>
      </c>
      <c r="Y8" s="127">
        <f>VLOOKUP(Y6,Benchmark_Legend[],MATCH(ColumnPD[[#This Row],[Metric]],Benchmark_Legend[#Headers],0),0)</f>
        <v>0.25</v>
      </c>
      <c r="Z8" s="127">
        <f>VLOOKUP(Z6,Benchmark_Legend[],MATCH(ColumnPD[[#This Row],[Metric]],Benchmark_Legend[#Headers],0),0)</f>
        <v>0.35</v>
      </c>
      <c r="AA8" s="127">
        <f>VLOOKUP(AA6,Benchmark_Legend[],MATCH(ColumnPD[[#This Row],[Metric]],Benchmark_Legend[#Headers],0),0)</f>
        <v>0.25</v>
      </c>
      <c r="AB8" s="26"/>
    </row>
    <row r="9" spans="1:121" s="18" customFormat="1" ht="15.65" customHeight="1" thickBot="1" x14ac:dyDescent="0.4">
      <c r="A9" s="67" t="e">
        <f>RIGHT(#REF!,7)</f>
        <v>#REF!</v>
      </c>
      <c r="B9" s="68"/>
      <c r="C9" s="68"/>
      <c r="D9" s="68"/>
      <c r="E9" s="78" t="s">
        <v>154</v>
      </c>
      <c r="F9" s="66"/>
      <c r="G9" s="117" t="s">
        <v>14</v>
      </c>
      <c r="H9" s="118"/>
      <c r="I9" s="119"/>
      <c r="J9" s="112" t="s">
        <v>130</v>
      </c>
      <c r="K9" s="99">
        <f t="array" aca="1" ref="K9" ca="1">SUM(
IF((DataPD[Measured Rate 
'[% Measured']]&lt;&gt;"NULL"),
DataPD[Measured Rate 
'[% Measured']]*
SUBTOTAL(9,OFFSET(DataPD[Total Impressions],ROW(DataPD[Total Impressions])-MIN(ROW(DataPD[Total Impressions])),0,1))))
/
SUM(
IF((DataPD[Measured Rate 
'[% Measured']]&lt;&gt;"NULL"),
SUBTOTAL(9,OFFSET(DataPD[Total Impressions],ROW(DataPD[Total Impressions])-MIN(ROW(DataPD[Total Impressions])),0,1))))</f>
        <v>0.7</v>
      </c>
      <c r="L9" s="99">
        <f t="array" aca="1" ref="L9" ca="1">SUM(
IF((DataPD[See-Through Rate 
'[% Visible']]&lt;&gt;"NULL"),
DataPD[See-Through Rate 
'[% Visible']]*
SUBTOTAL(9,OFFSET(DataPD[Total Impressions],ROW(DataPD[Total Impressions])-MIN(ROW(DataPD[Total Impressions])),0,1))))
/
SUM(
IF((DataPD[See-Through Rate 
'[% Visible']]&lt;&gt;"NULL"),
SUBTOTAL(9,OFFSET(DataPD[Total Impressions],ROW(DataPD[Total Impressions])-MIN(ROW(DataPD[Total Impressions])),0,1))))</f>
        <v>0.98</v>
      </c>
      <c r="M9" s="111">
        <f t="array" aca="1" ref="M9" ca="1">SUM(
IF((DataPD[Brand Safety 
'[% Passed']]&lt;&gt;"NULL"),
DataPD[Brand Safety 
'[% Passed']]*
SUBTOTAL(9,OFFSET(DataPD[Total Impressions],ROW(DataPD[Total Impressions])-MIN(ROW(DataPD[Total Impressions])),0,1))))
/
SUM(
IF((DataPD[Brand Safety 
'[% Passed']]&lt;&gt;"NULL"),
SUBTOTAL(9,OFFSET(DataPD[Total Impressions],ROW(DataPD[Total Impressions])-MIN(ROW(DataPD[Total Impressions])),0,1))))</f>
        <v>0.95</v>
      </c>
      <c r="N9" s="111">
        <f t="array" aca="1" ref="N9" ca="1">SUM(
IF((DataPD[Brand Safety 
'[% Failed']]&lt;&gt;"NULL"),
DataPD[Brand Safety 
'[% Failed']]*
SUBTOTAL(9,OFFSET(DataPD[Total Impressions],ROW(DataPD[Total Impressions])-MIN(ROW(DataPD[Total Impressions])),0,1))))
/
SUM(
IF((DataPD[Brand Safety 
'[% Failed']]&lt;&gt;"NULL"),
SUBTOTAL(9,OFFSET(DataPD[Total Impressions],ROW(DataPD[Total Impressions])-MIN(ROW(DataPD[Total Impressions])),0,1))))</f>
        <v>0.05</v>
      </c>
      <c r="O9" s="111">
        <f t="array" aca="1" ref="O9" ca="1">SUM(
IF((DataPD[Brand Safety 
'[% Failed by Content']]&lt;&gt;"NULL"),
DataPD[Brand Safety 
'[% Failed by Content']]*
SUBTOTAL(9,OFFSET(DataPD[Total Impressions],ROW(DataPD[Total Impressions])-MIN(ROW(DataPD[Total Impressions])),0,1))))
/
SUM(
IF((DataPD[Brand Safety 
'[% Failed by Content']]&lt;&gt;"NULL"),
SUBTOTAL(9,OFFSET(DataPD[Total Impressions],ROW(DataPD[Total Impressions])-MIN(ROW(DataPD[Total Impressions])),0,1))))</f>
        <v>0.02</v>
      </c>
      <c r="P9" s="111">
        <f t="array" aca="1" ref="P9" ca="1">SUM(
IF((DataPD[Brand Safety 
'[% Failed by Geo']]&lt;&gt;"NULL"),
DataPD[Brand Safety 
'[% Failed by Geo']]*
SUBTOTAL(9,OFFSET(DataPD[Total Impressions],ROW(DataPD[Total Impressions])-MIN(ROW(DataPD[Total Impressions])),0,1))))
/
SUM(
IF((DataPD[Brand Safety 
'[% Failed by Geo']]&lt;&gt;"NULL"),
SUBTOTAL(9,OFFSET(DataPD[Total Impressions],ROW(DataPD[Total Impressions])-MIN(ROW(DataPD[Total Impressions])),0,1))))</f>
        <v>0.02</v>
      </c>
      <c r="Q9" s="99">
        <f t="array" aca="1" ref="Q9" ca="1">SUM(
IF((DataPD[Brand Safety 
'[% Failed by Keyword']]&lt;&gt;"NULL"),
DataPD[Brand Safety 
'[% Failed by Keyword']]*
SUBTOTAL(9,OFFSET(DataPD[Total Impressions],ROW(DataPD[Total Impressions])-MIN(ROW(DataPD[Total Impressions])),0,1))))
/
SUM(
IF((DataPD[Brand Safety 
'[% Failed by Keyword']]&lt;&gt;"NULL"),
SUBTOTAL(9,OFFSET(DataPD[Total Impressions],ROW(DataPD[Total Impressions])-MIN(ROW(DataPD[Total Impressions])),0,1))))</f>
        <v>0.01</v>
      </c>
      <c r="R9" s="99">
        <f t="array" aca="1" ref="R9" ca="1">SUM(
IF((DataPD[Brand Safety 
'[% Failed by Blacklist']]&lt;&gt;"NULL"),
DataPD[Brand Safety 
'[% Failed by Blacklist']]*
SUBTOTAL(9,OFFSET(DataPD[Total Impressions],ROW(DataPD[Total Impressions])-MIN(ROW(DataPD[Total Impressions])),0,1))))
/
SUM(
IF((DataPD[Brand Safety 
'[% Failed by Blacklist']]&lt;&gt;"NULL"),
SUBTOTAL(9,OFFSET(DataPD[Total Impressions],ROW(DataPD[Total Impressions])-MIN(ROW(DataPD[Total Impressions])),0,1))))</f>
        <v>0.01</v>
      </c>
      <c r="S9" s="99">
        <f t="array" aca="1" ref="S9" ca="1">SUM(
IF((DataPD[Brand Safety 
'[% Failed by Language']]&lt;&gt;"NULL"),
DataPD[Brand Safety 
'[% Failed by Language']]*
SUBTOTAL(9,OFFSET(DataPD[Total Impressions],ROW(DataPD[Total Impressions])-MIN(ROW(DataPD[Total Impressions])),0,1))))
/
SUM(
IF((DataPD[Brand Safety 
'[% Failed by Language']]&lt;&gt;"NULL"),
SUBTOTAL(9,OFFSET(DataPD[Total Impressions],ROW(DataPD[Total Impressions])-MIN(ROW(DataPD[Total Impressions])),0,1))))</f>
        <v>0.01</v>
      </c>
      <c r="T9" s="99">
        <f t="array" aca="1" ref="T9" ca="1">SUM(
IF((DataPD[Fraud 
'[% Fraud']]&lt;&gt;"NULL"),
DataPD[Fraud 
'[% Fraud']]*
SUBTOTAL(9,OFFSET(DataPD[Total Impressions],ROW(DataPD[Total Impressions])-MIN(ROW(DataPD[Total Impressions])),0,1))))
/
SUM(
IF((DataPD[Fraud 
'[% Fraud']]&lt;&gt;"NULL"),
SUBTOTAL(9,OFFSET(DataPD[Total Impressions],ROW(DataPD[Total Impressions])-MIN(ROW(DataPD[Total Impressions])),0,1))))</f>
        <v>0.03</v>
      </c>
      <c r="U9" s="99">
        <f t="array" aca="1" ref="U9" ca="1">SUM(
IF((DataPD[Viewability 
'[Total Viewable Rate (Total Net Metrics)']]&lt;&gt;"NULL"),
DataPD[Viewability 
'[Total Viewable Rate (Total Net Metrics)']]*SUBTOTAL(9,OFFSET(DataPD[Measured Impressions],ROW(DataPD[Measured Impressions])-MIN(ROW(DataPD[Measured Impressions])),0,1))))
/
SUM(
IF((DataPD[Viewability 
'[Total Viewable Rate (Total Net Metrics)']]&lt;&gt;"NULL"),
SUBTOTAL(9,OFFSET(DataPD[Measured Impressions],ROW(DataPD[Measured Impressions])-MIN(ROW(DataPD[Measured Impressions])),0,1))))</f>
        <v>0.55000000000000004</v>
      </c>
      <c r="V9" s="99">
        <f t="array" aca="1" ref="V9" ca="1">SUM(
IF((DataPD[Display Viewability 
'[Total Viewable Rate (Total Net Metrics)']]&lt;&gt;"NULL"),
DataPD[Display Viewability 
'[Total Viewable Rate (Total Net Metrics)']]*SUBTOTAL(9,OFFSET(DataPD[Measured Impressions],ROW(DataPD[Measured Impressions])-MIN(ROW(DataPD[Measured Impressions])),0,1))))
/
SUM(
IF((DataPD[Display Viewability 
'[Total Viewable Rate (Total Net Metrics)']]&lt;&gt;"NULL"),
SUBTOTAL(9,OFFSET(DataPD[Measured Impressions],ROW(DataPD[Measured Impressions])-MIN(ROW(DataPD[Measured Impressions])),0,1))))</f>
        <v>0.6</v>
      </c>
      <c r="W9" s="111">
        <f t="array" aca="1" ref="W9" ca="1">SUM(
IF((DataPD[Video Viewability 
'[Total Viewable Rate (Total Net Metrics)']]&lt;&gt;"NULL"),
DataPD[Video Viewability 
'[Total Viewable Rate (Total Net Metrics)']]*SUBTOTAL(9,OFFSET(DataPD[Measured Impressions],ROW(DataPD[Measured Impressions])-MIN(ROW(DataPD[Measured Impressions])),0,1))))
/
SUM(
IF((DataPD[Video Viewability 
'[Total Viewable Rate (Total Net Metrics)']]&lt;&gt;"NULL"),
SUBTOTAL(9,OFFSET(DataPD[Measured Impressions],ROW(DataPD[Measured Impressions])-MIN(ROW(DataPD[Measured Impressions])),0,1))))</f>
        <v>0.5</v>
      </c>
      <c r="X9" s="99">
        <f t="array" aca="1" ref="X9" ca="1">SUM(
IF((DataPD[GroupM Viewability 
'[% Display Ads Fully in View']]&lt;&gt;"NULL"),
DataPD[GroupM Viewability 
'[% Display Ads Fully in View']]*SUBTOTAL(9,OFFSET(DataPD[Measured Impressions],ROW(DataPD[Measured Impressions])-MIN(ROW(DataPD[Measured Impressions])),0,1))))
/
SUM(
IF((DataPD[GroupM Viewability 
'[% Display Ads Fully in View']]&lt;&gt;"NULL"),
SUBTOTAL(9,OFFSET(DataPD[Measured Impressions],ROW(DataPD[Measured Impressions])-MIN(ROW(DataPD[Measured Impressions])),0,1))))</f>
        <v>0.35</v>
      </c>
      <c r="Y9" s="111">
        <f t="array" aca="1" ref="Y9" ca="1">SUM(
IF((DataPD[GroupM Viewability 
'[% Videos Fully in View']]&lt;&gt;"NULL"),
DataPD[GroupM Viewability 
'[% Videos Fully in View']]*SUBTOTAL(9,OFFSET(DataPD[Measured Impressions],ROW(DataPD[Measured Impressions])-MIN(ROW(DataPD[Measured Impressions])),0,1))))
/
SUM(
IF((DataPD[GroupM Viewability 
'[% Videos Fully in View']]&lt;&gt;"NULL"),
SUBTOTAL(9,OFFSET(DataPD[Measured Impressions],ROW(DataPD[Measured Impressions])-MIN(ROW(DataPD[Measured Impressions])),0,1))))</f>
        <v>0.25</v>
      </c>
      <c r="Z9" s="99">
        <f t="array" aca="1" ref="Z9" ca="1">SUM(
IF((DataPD[Publicis Viewability 
'[% Display Ads Fully in View']]&lt;&gt;"NULL"),
DataPD[Publicis Viewability 
'[% Display Ads Fully in View']]*SUBTOTAL(9,OFFSET(DataPD[Measured Impressions],ROW(DataPD[Measured Impressions])-MIN(ROW(DataPD[Measured Impressions])),0,1))))
/
SUM(
IF((DataPD[Publicis Viewability 
'[% Display Ads Fully in View']]&lt;&gt;"NULL"),
SUBTOTAL(9,OFFSET(DataPD[Measured Impressions],ROW(DataPD[Measured Impressions])-MIN(ROW(DataPD[Measured Impressions])),0,1))))</f>
        <v>0.35</v>
      </c>
      <c r="AA9" s="99">
        <f t="array" aca="1" ref="AA9" ca="1">SUM(
IF((DataPD[Publicis Viewability 
'[% Videos Fully in View']]&lt;&gt;"NULL"),
DataPD[Publicis Viewability 
'[% Videos Fully in View']]*SUBTOTAL(9,OFFSET(DataPD[Measured Impressions],ROW(DataPD[Measured Impressions])-MIN(ROW(DataPD[Measured Impressions])),0,1))))
/
SUM(
IF((DataPD[Publicis Viewability 
'[% Videos Fully in View']]&lt;&gt;"NULL"),
SUBTOTAL(9,OFFSET(DataPD[Measured Impressions],ROW(DataPD[Measured Impressions])-MIN(ROW(DataPD[Measured Impressions])),0,1))))</f>
        <v>0.25</v>
      </c>
      <c r="AB9" s="26"/>
    </row>
    <row r="10" spans="1:121" s="18" customFormat="1" ht="15.75" hidden="1" customHeight="1" x14ac:dyDescent="0.35">
      <c r="A10" s="67"/>
      <c r="B10" s="68"/>
      <c r="C10" s="68"/>
      <c r="D10" s="68"/>
      <c r="E10" s="68"/>
      <c r="F10" s="66"/>
      <c r="G10" s="115"/>
      <c r="H10" s="115"/>
      <c r="I10" s="116"/>
      <c r="J10" s="101" t="s">
        <v>126</v>
      </c>
      <c r="K10" s="31">
        <f t="array" aca="1" ref="K10" ca="1">SUM(
IF(DataPD[Measured Rate 
'[% Measured']]&lt;&gt;"NULL",
IF(DataPD[Device Type]=ColumnPD[[#This Row],[Metric]],
DataPD[Measured Rate 
'[% Measured']]*
SUBTOTAL(9,OFFSET(DataPD[Total Impressions],ROW(DataPD[Total Impressions])-MIN(ROW(DataPD[Total Impressions])),0,1)))))
/
SUM(
IF(DataPD[Measured Rate 
'[% Measured']]&lt;&gt;"NULL",
IF(DataPD[Device Type]=ColumnPD[[#This Row],[Metric]],
SUBTOTAL(9,OFFSET(DataPD[Total Impressions],ROW(DataPD[Total Impressions])-MIN(ROW(DataPD[Total Impressions])),0,1)))))</f>
        <v>0.7</v>
      </c>
      <c r="L10" s="32">
        <f t="array" aca="1" ref="L10" ca="1">SUM(
IF(DataPD[See-Through Rate 
'[% Visible']]&lt;&gt;"NULL",
IF(DataPD[Device Type]=ColumnPD[[#This Row],[Metric]],
DataPD[See-Through Rate 
'[% Visible']]*
SUBTOTAL(9,OFFSET(DataPD[Total Impressions],ROW(DataPD[Total Impressions])-MIN(ROW(DataPD[Total Impressions])),0,1)))))
/
SUM(
IF(DataPD[See-Through Rate 
'[% Visible']]&lt;&gt;"NULL",
IF(DataPD[Device Type]=ColumnPD[[#This Row],[Metric]],
SUBTOTAL(9,OFFSET(DataPD[Total Impressions],ROW(DataPD[Total Impressions])-MIN(ROW(DataPD[Total Impressions])),0,1)))))</f>
        <v>0.98</v>
      </c>
      <c r="M10" s="32">
        <f t="array" aca="1" ref="M10" ca="1">SUM(
IF(DataPD[Brand Safety 
'[% Passed']]&lt;&gt;"NULL",
IF(DataPD[Device Type]=ColumnPD[[#This Row],[Metric]],
DataPD[Brand Safety 
'[% Passed']]*
SUBTOTAL(9,OFFSET(DataPD[Total Impressions],ROW(DataPD[Total Impressions])-MIN(ROW(DataPD[Total Impressions])),0,1)))))
/
SUM(
IF(DataPD[Brand Safety 
'[% Passed']]&lt;&gt;"NULL",
IF(DataPD[Device Type]=ColumnPD[[#This Row],[Metric]],
SUBTOTAL(9,OFFSET(DataPD[Total Impressions],ROW(DataPD[Total Impressions])-MIN(ROW(DataPD[Total Impressions])),0,1)))))</f>
        <v>0.95</v>
      </c>
      <c r="N10" s="32">
        <f t="array" aca="1" ref="N10" ca="1">SUM(
IF(DataPD[Brand Safety 
'[% Failed']]&lt;&gt;"NULL",
IF(DataPD[Device Type]=ColumnPD[[#This Row],[Metric]],
DataPD[Brand Safety 
'[% Failed']]*
SUBTOTAL(9,OFFSET(DataPD[Total Impressions],ROW(DataPD[Total Impressions])-MIN(ROW(DataPD[Total Impressions])),0,1)))))
/
SUM(
IF(DataPD[Brand Safety 
'[% Failed']]&lt;&gt;"NULL",
IF(DataPD[Device Type]=ColumnPD[[#This Row],[Metric]],
SUBTOTAL(9,OFFSET(DataPD[Total Impressions],ROW(DataPD[Total Impressions])-MIN(ROW(DataPD[Total Impressions])),0,1)))))</f>
        <v>0.05</v>
      </c>
      <c r="O10" s="32">
        <f t="array" aca="1" ref="O10" ca="1">SUM(
IF(DataPD[Brand Safety 
'[% Failed by Content']]&lt;&gt;"NULL",
IF(DataPD[Device Type]=ColumnPD[[#This Row],[Metric]],
DataPD[Brand Safety 
'[% Failed by Content']]*
SUBTOTAL(9,OFFSET(DataPD[Total Impressions],ROW(DataPD[Total Impressions])-MIN(ROW(DataPD[Total Impressions])),0,1)))))
/
SUM(
IF(DataPD[Brand Safety 
'[% Failed by Content']]&lt;&gt;"NULL",
IF(DataPD[Device Type]=ColumnPD[[#This Row],[Metric]],
SUBTOTAL(9,OFFSET(DataPD[Total Impressions],ROW(DataPD[Total Impressions])-MIN(ROW(DataPD[Total Impressions])),0,1)))))</f>
        <v>0.02</v>
      </c>
      <c r="P10" s="32">
        <f t="array" aca="1" ref="P10" ca="1">SUM(
IF(DataPD[Brand Safety 
'[% Failed by Geo']]&lt;&gt;"NULL",
IF(DataPD[Device Type]=ColumnPD[[#This Row],[Metric]],
DataPD[Brand Safety 
'[% Failed by Geo']]*
SUBTOTAL(9,OFFSET(DataPD[Total Impressions],ROW(DataPD[Total Impressions])-MIN(ROW(DataPD[Total Impressions])),0,1)))))
/
SUM(
IF(DataPD[Brand Safety 
'[% Failed by Geo']]&lt;&gt;"NULL",
IF(DataPD[Device Type]=ColumnPD[[#This Row],[Metric]],
SUBTOTAL(9,OFFSET(DataPD[Total Impressions],ROW(DataPD[Total Impressions])-MIN(ROW(DataPD[Total Impressions])),0,1)))))</f>
        <v>0.02</v>
      </c>
      <c r="Q10" s="32">
        <f t="array" aca="1" ref="Q10" ca="1">SUM(
IF(DataPD[Brand Safety 
'[% Failed by Keyword']]&lt;&gt;"NULL",
IF(DataPD[Device Type]=ColumnPD[[#This Row],[Metric]],
DataPD[Brand Safety 
'[% Failed by Keyword']]*
SUBTOTAL(9,OFFSET(DataPD[Total Impressions],ROW(DataPD[Total Impressions])-MIN(ROW(DataPD[Total Impressions])),0,1)))))
/
SUM(
IF(DataPD[Brand Safety 
'[% Failed by Keyword']]&lt;&gt;"NULL",
IF(DataPD[Device Type]=ColumnPD[[#This Row],[Metric]],
SUBTOTAL(9,OFFSET(DataPD[Total Impressions],ROW(DataPD[Total Impressions])-MIN(ROW(DataPD[Total Impressions])),0,1)))))</f>
        <v>0.01</v>
      </c>
      <c r="R10" s="32">
        <f t="array" aca="1" ref="R10" ca="1">SUM(
IF(DataPD[Brand Safety 
'[% Failed by Blacklist']]&lt;&gt;"NULL",
IF(DataPD[Device Type]=ColumnPD[[#This Row],[Metric]],
DataPD[Brand Safety 
'[% Failed by Blacklist']]*
SUBTOTAL(9,OFFSET(DataPD[Total Impressions],ROW(DataPD[Total Impressions])-MIN(ROW(DataPD[Total Impressions])),0,1)))))
/
SUM(
IF(DataPD[Brand Safety 
'[% Failed by Blacklist']]&lt;&gt;"NULL",
IF(DataPD[Device Type]=ColumnPD[[#This Row],[Metric]],
SUBTOTAL(9,OFFSET(DataPD[Total Impressions],ROW(DataPD[Total Impressions])-MIN(ROW(DataPD[Total Impressions])),0,1)))))</f>
        <v>0.01</v>
      </c>
      <c r="S10" s="32">
        <f t="array" aca="1" ref="S10" ca="1">SUM(
IF(DataPD[Brand Safety 
'[% Failed by Language']]&lt;&gt;"NULL",
IF(DataPD[Device Type]=ColumnPD[[#This Row],[Metric]],
DataPD[Brand Safety 
'[% Failed by Language']]*
SUBTOTAL(9,OFFSET(DataPD[Total Impressions],ROW(DataPD[Total Impressions])-MIN(ROW(DataPD[Total Impressions])),0,1)))))
/
SUM(
IF(DataPD[Brand Safety 
'[% Failed by Language']]&lt;&gt;"NULL",
IF(DataPD[Device Type]=ColumnPD[[#This Row],[Metric]],
SUBTOTAL(9,OFFSET(DataPD[Total Impressions],ROW(DataPD[Total Impressions])-MIN(ROW(DataPD[Total Impressions])),0,1)))))</f>
        <v>0.01</v>
      </c>
      <c r="T10" s="32">
        <f t="array" aca="1" ref="T10" ca="1">SUM(
IF(DataPD[Fraud 
'[% Fraud']]&lt;&gt;"NULL",
IF(DataPD[Device Type]=ColumnPD[[#This Row],[Metric]],
DataPD[Fraud 
'[% Fraud']]*
SUBTOTAL(9,OFFSET(DataPD[Total Impressions],ROW(DataPD[Total Impressions])-MIN(ROW(DataPD[Total Impressions])),0,1)))))
/
SUM(
IF(DataPD[Fraud 
'[% Fraud']]&lt;&gt;"NULL",
IF(DataPD[Device Type]=ColumnPD[[#This Row],[Metric]],
SUBTOTAL(9,OFFSET(DataPD[Total Impressions],ROW(DataPD[Total Impressions])-MIN(ROW(DataPD[Total Impressions])),0,1)))))</f>
        <v>0.03</v>
      </c>
      <c r="U10" s="32">
        <f t="array" aca="1" ref="U10" ca="1">SUM(
IF(DataPD[Viewability 
'[Total Viewable Rate (Total Net Metrics)']]&lt;&gt;"NULL",
IF(DataPD[Device Type]=ColumnPD[[#This Row],[Metric]],
DataPD[Viewability 
'[Total Viewable Rate (Total Net Metrics)']]*
SUBTOTAL(9,OFFSET(DataPD[Total Impressions],ROW(DataPD[Total Impressions])-MIN(ROW(DataPD[Total Impressions])),0,1)))))
/
SUM(
IF(DataPD[Viewability 
'[Total Viewable Rate (Total Net Metrics)']]&lt;&gt;"NULL",
IF(DataPD[Device Type]=ColumnPD[[#This Row],[Metric]],
SUBTOTAL(9,OFFSET(DataPD[Total Impressions],ROW(DataPD[Total Impressions])-MIN(ROW(DataPD[Total Impressions])),0,1)))))</f>
        <v>0.55000000000000004</v>
      </c>
      <c r="V10" s="32">
        <f t="array" aca="1" ref="V10" ca="1">SUM(
IF(DataPD[Display Viewability 
'[Total Viewable Rate (Total Net Metrics)']]&lt;&gt;"NULL",
IF(DataPD[Device Type]=ColumnPD[[#This Row],[Metric]],
DataPD[Display Viewability 
'[Total Viewable Rate (Total Net Metrics)']]*
SUBTOTAL(9,OFFSET(DataPD[Total Impressions],ROW(DataPD[Total Impressions])-MIN(ROW(DataPD[Total Impressions])),0,1)))))
/
SUM(
IF(DataPD[Display Viewability 
'[Total Viewable Rate (Total Net Metrics)']]&lt;&gt;"NULL",
IF(DataPD[Device Type]=ColumnPD[[#This Row],[Metric]],
SUBTOTAL(9,OFFSET(DataPD[Total Impressions],ROW(DataPD[Total Impressions])-MIN(ROW(DataPD[Total Impressions])),0,1)))))</f>
        <v>0.59999999999999987</v>
      </c>
      <c r="W10" s="32">
        <f t="array" aca="1" ref="W10" ca="1">SUM(
IF(DataPD[Video Viewability 
'[Total Viewable Rate (Total Net Metrics)']]&lt;&gt;"NULL",
IF(DataPD[Device Type]=ColumnPD[[#This Row],[Metric]],
DataPD[Video Viewability 
'[Total Viewable Rate (Total Net Metrics)']]*
SUBTOTAL(9,OFFSET(DataPD[Total Impressions],ROW(DataPD[Total Impressions])-MIN(ROW(DataPD[Total Impressions])),0,1)))))
/
SUM(
IF(DataPD[Video Viewability 
'[Total Viewable Rate (Total Net Metrics)']]&lt;&gt;"NULL",
IF(DataPD[Device Type]=ColumnPD[[#This Row],[Metric]],
SUBTOTAL(9,OFFSET(DataPD[Total Impressions],ROW(DataPD[Total Impressions])-MIN(ROW(DataPD[Total Impressions])),0,1)))))</f>
        <v>0.5</v>
      </c>
      <c r="X10" s="32">
        <f t="array" aca="1" ref="X10" ca="1">SUM(
IF(DataPD[GroupM Viewability 
'[% Display Ads Fully in View']]&lt;&gt;"NULL",
IF(DataPD[Device Type]=ColumnPD[[#This Row],[Metric]],
DataPD[GroupM Viewability 
'[% Display Ads Fully in View']]*
SUBTOTAL(9,OFFSET(DataPD[Total Impressions],ROW(DataPD[Total Impressions])-MIN(ROW(DataPD[Total Impressions])),0,1)))))
/
SUM(
IF(DataPD[GroupM Viewability 
'[% Display Ads Fully in View']]&lt;&gt;"NULL",
IF(DataPD[Device Type]=ColumnPD[[#This Row],[Metric]],
SUBTOTAL(9,OFFSET(DataPD[Total Impressions],ROW(DataPD[Total Impressions])-MIN(ROW(DataPD[Total Impressions])),0,1)))))</f>
        <v>0.35</v>
      </c>
      <c r="Y10" s="32">
        <f t="array" aca="1" ref="Y10" ca="1">SUM(
IF(DataPD[GroupM Viewability 
'[% Videos Fully in View']]&lt;&gt;"NULL",
IF(DataPD[Device Type]=ColumnPD[[#This Row],[Metric]],
DataPD[GroupM Viewability 
'[% Videos Fully in View']]*
SUBTOTAL(9,OFFSET(DataPD[Total Impressions],ROW(DataPD[Total Impressions])-MIN(ROW(DataPD[Total Impressions])),0,1)))))
/
SUM(
IF(DataPD[GroupM Viewability 
'[% Videos Fully in View']]&lt;&gt;"NULL",
IF(DataPD[Device Type]=ColumnPD[[#This Row],[Metric]],
SUBTOTAL(9,OFFSET(DataPD[Total Impressions],ROW(DataPD[Total Impressions])-MIN(ROW(DataPD[Total Impressions])),0,1)))))</f>
        <v>0.25</v>
      </c>
      <c r="Z10" s="32">
        <f t="array" aca="1" ref="Z10" ca="1">SUM(
IF(DataPD[Publicis Viewability 
'[% Display Ads Fully in View']]&lt;&gt;"NULL",
IF(DataPD[Device Type]=ColumnPD[[#This Row],[Metric]],
DataPD[Publicis Viewability 
'[% Display Ads Fully in View']]*
SUBTOTAL(9,OFFSET(DataPD[Total Impressions],ROW(DataPD[Total Impressions])-MIN(ROW(DataPD[Total Impressions])),0,1)))))
/
SUM(
IF(DataPD[Publicis Viewability 
'[% Display Ads Fully in View']]&lt;&gt;"NULL",
IF(DataPD[Device Type]=ColumnPD[[#This Row],[Metric]],
SUBTOTAL(9,OFFSET(DataPD[Total Impressions],ROW(DataPD[Total Impressions])-MIN(ROW(DataPD[Total Impressions])),0,1)))))</f>
        <v>0.35</v>
      </c>
      <c r="AA10" s="32">
        <f t="array" aca="1" ref="AA10" ca="1">SUM(
IF(DataPD[Publicis Viewability 
'[% Videos Fully in View']]&lt;&gt;"NULL",
IF(DataPD[Device Type]=ColumnPD[[#This Row],[Metric]],
DataPD[Publicis Viewability 
'[% Videos Fully in View']]*
SUBTOTAL(9,OFFSET(DataPD[Total Impressions],ROW(DataPD[Total Impressions])-MIN(ROW(DataPD[Total Impressions])),0,1)))))
/
SUM(
IF(DataPD[Publicis Viewability 
'[% Videos Fully in View']]&lt;&gt;"NULL",
IF(DataPD[Device Type]=ColumnPD[[#This Row],[Metric]],
SUBTOTAL(9,OFFSET(DataPD[Total Impressions],ROW(DataPD[Total Impressions])-MIN(ROW(DataPD[Total Impressions])),0,1)))))</f>
        <v>0.25</v>
      </c>
      <c r="AB10" s="26"/>
    </row>
    <row r="11" spans="1:121" s="18" customFormat="1" ht="16.5" hidden="1" customHeight="1" x14ac:dyDescent="0.35">
      <c r="A11" s="67"/>
      <c r="B11" s="68"/>
      <c r="C11" s="68"/>
      <c r="D11" s="68"/>
      <c r="E11" s="68"/>
      <c r="F11" s="66"/>
      <c r="G11" s="115"/>
      <c r="H11" s="115"/>
      <c r="I11" s="116"/>
      <c r="J11" s="101" t="s">
        <v>140</v>
      </c>
      <c r="K11" s="31" t="e">
        <f t="array" aca="1" ref="K11" ca="1">SUM(
IF(DataPD[Measured Rate 
'[% Measured']]&lt;&gt;"NULL",
IF(DataPD[Partner Type]=ColumnPD[[#This Row],[Metric]],
DataPD[Measured Rate 
'[% Measured']]*
SUBTOTAL(9,OFFSET(DataPD[Total Impressions],ROW(DataPD[Total Impressions])-MIN(ROW(DataPD[Total Impressions])),0,1)))))
/
SUM(
IF(DataPD[Measured Rate 
'[% Measured']]&lt;&gt;"NULL",
IF(DataPD[Partner Type]=ColumnPD[[#This Row],[Metric]],
SUBTOTAL(9,OFFSET(DataPD[Total Impressions],ROW(DataPD[Total Impressions])-MIN(ROW(DataPD[Total Impressions])),0,1)))))</f>
        <v>#DIV/0!</v>
      </c>
      <c r="L11" s="32" t="e">
        <f t="array" aca="1" ref="L11" ca="1">SUM(
IF(DataPD[See-Through Rate 
'[% Visible']]&lt;&gt;"NULL",
IF(DataPD[Partner Type]=ColumnPD[[#This Row],[Metric]],
DataPD[See-Through Rate 
'[% Visible']]*
SUBTOTAL(9,OFFSET(DataPD[Total Impressions],ROW(DataPD[Total Impressions])-MIN(ROW(DataPD[Total Impressions])),0,1)))))
/
SUM(
IF(DataPD[See-Through Rate 
'[% Visible']]&lt;&gt;"NULL",
IF(DataPD[Partner Type]=ColumnPD[[#This Row],[Metric]],
SUBTOTAL(9,OFFSET(DataPD[Total Impressions],ROW(DataPD[Total Impressions])-MIN(ROW(DataPD[Total Impressions])),0,1)))))</f>
        <v>#DIV/0!</v>
      </c>
      <c r="M11" s="32" t="e">
        <f t="array" aca="1" ref="M11" ca="1">SUM(
IF(DataPD[Brand Safety 
'[% Passed']]&lt;&gt;"NULL",
IF(DataPD[Partner Type]=ColumnPD[[#This Row],[Metric]],
DataPD[Brand Safety 
'[% Passed']]*
SUBTOTAL(9,OFFSET(DataPD[Total Impressions],ROW(DataPD[Total Impressions])-MIN(ROW(DataPD[Total Impressions])),0,1)))))
/
SUM(
IF(DataPD[Brand Safety 
'[% Passed']]&lt;&gt;"NULL",
IF(DataPD[Partner Type]=ColumnPD[[#This Row],[Metric]],
SUBTOTAL(9,OFFSET(DataPD[Total Impressions],ROW(DataPD[Total Impressions])-MIN(ROW(DataPD[Total Impressions])),0,1)))))</f>
        <v>#DIV/0!</v>
      </c>
      <c r="N11" s="32" t="e">
        <f t="array" aca="1" ref="N11" ca="1">SUM(
IF(DataPD[Brand Safety 
'[% Failed']]&lt;&gt;"NULL",
IF(DataPD[Partner Type]=ColumnPD[[#This Row],[Metric]],
DataPD[Brand Safety 
'[% Failed']]*
SUBTOTAL(9,OFFSET(DataPD[Total Impressions],ROW(DataPD[Total Impressions])-MIN(ROW(DataPD[Total Impressions])),0,1)))))
/
SUM(
IF(DataPD[Brand Safety 
'[% Failed']]&lt;&gt;"NULL",
IF(DataPD[Partner Type]=ColumnPD[[#This Row],[Metric]],
SUBTOTAL(9,OFFSET(DataPD[Total Impressions],ROW(DataPD[Total Impressions])-MIN(ROW(DataPD[Total Impressions])),0,1)))))</f>
        <v>#DIV/0!</v>
      </c>
      <c r="O11" s="32" t="e">
        <f t="array" aca="1" ref="O11" ca="1">SUM(
IF(DataPD[Brand Safety 
'[% Failed by Content']]&lt;&gt;"NULL",
IF(DataPD[Partner Type]=ColumnPD[[#This Row],[Metric]],
DataPD[Brand Safety 
'[% Failed by Content']]*
SUBTOTAL(9,OFFSET(DataPD[Total Impressions],ROW(DataPD[Total Impressions])-MIN(ROW(DataPD[Total Impressions])),0,1)))))
/
SUM(
IF(DataPD[Brand Safety 
'[% Failed by Content']]&lt;&gt;"NULL",
IF(DataPD[Partner Type]=ColumnPD[[#This Row],[Metric]],
SUBTOTAL(9,OFFSET(DataPD[Total Impressions],ROW(DataPD[Total Impressions])-MIN(ROW(DataPD[Total Impressions])),0,1)))))</f>
        <v>#DIV/0!</v>
      </c>
      <c r="P11" s="32" t="e">
        <f t="array" aca="1" ref="P11" ca="1">SUM(
IF(DataPD[Brand Safety 
'[% Failed by Geo']]&lt;&gt;"NULL",
IF(DataPD[Partner Type]=ColumnPD[[#This Row],[Metric]],
DataPD[Brand Safety 
'[% Failed by Geo']]*
SUBTOTAL(9,OFFSET(DataPD[Total Impressions],ROW(DataPD[Total Impressions])-MIN(ROW(DataPD[Total Impressions])),0,1)))))
/
SUM(
IF(DataPD[Brand Safety 
'[% Failed by Geo']]&lt;&gt;"NULL",
IF(DataPD[Partner Type]=ColumnPD[[#This Row],[Metric]],
SUBTOTAL(9,OFFSET(DataPD[Total Impressions],ROW(DataPD[Total Impressions])-MIN(ROW(DataPD[Total Impressions])),0,1)))))</f>
        <v>#DIV/0!</v>
      </c>
      <c r="Q11" s="32" t="e">
        <f t="array" aca="1" ref="Q11" ca="1">SUM(
IF(DataPD[Brand Safety 
'[% Failed by Keyword']]&lt;&gt;"NULL",
IF(DataPD[Partner Type]=ColumnPD[[#This Row],[Metric]],
DataPD[Brand Safety 
'[% Failed by Keyword']]*
SUBTOTAL(9,OFFSET(DataPD[Total Impressions],ROW(DataPD[Total Impressions])-MIN(ROW(DataPD[Total Impressions])),0,1)))))
/
SUM(
IF(DataPD[Brand Safety 
'[% Failed by Keyword']]&lt;&gt;"NULL",
IF(DataPD[Partner Type]=ColumnPD[[#This Row],[Metric]],
SUBTOTAL(9,OFFSET(DataPD[Total Impressions],ROW(DataPD[Total Impressions])-MIN(ROW(DataPD[Total Impressions])),0,1)))))</f>
        <v>#DIV/0!</v>
      </c>
      <c r="R11" s="32" t="e">
        <f t="array" aca="1" ref="R11" ca="1">SUM(
IF(DataPD[Brand Safety 
'[% Failed by Blacklist']]&lt;&gt;"NULL",
IF(DataPD[Partner Type]=ColumnPD[[#This Row],[Metric]],
DataPD[Brand Safety 
'[% Failed by Blacklist']]*
SUBTOTAL(9,OFFSET(DataPD[Total Impressions],ROW(DataPD[Total Impressions])-MIN(ROW(DataPD[Total Impressions])),0,1)))))
/
SUM(
IF(DataPD[Brand Safety 
'[% Failed by Blacklist']]&lt;&gt;"NULL",
IF(DataPD[Partner Type]=ColumnPD[[#This Row],[Metric]],
SUBTOTAL(9,OFFSET(DataPD[Total Impressions],ROW(DataPD[Total Impressions])-MIN(ROW(DataPD[Total Impressions])),0,1)))))</f>
        <v>#DIV/0!</v>
      </c>
      <c r="S11" s="32" t="e">
        <f t="array" aca="1" ref="S11" ca="1">SUM(
IF(DataPD[Brand Safety 
'[% Failed by Language']]&lt;&gt;"NULL",
IF(DataPD[Partner Type]=ColumnPD[[#This Row],[Metric]],
DataPD[Brand Safety 
'[% Failed by Language']]*
SUBTOTAL(9,OFFSET(DataPD[Total Impressions],ROW(DataPD[Total Impressions])-MIN(ROW(DataPD[Total Impressions])),0,1)))))
/
SUM(
IF(DataPD[Brand Safety 
'[% Failed by Language']]&lt;&gt;"NULL",
IF(DataPD[Partner Type]=ColumnPD[[#This Row],[Metric]],
SUBTOTAL(9,OFFSET(DataPD[Total Impressions],ROW(DataPD[Total Impressions])-MIN(ROW(DataPD[Total Impressions])),0,1)))))</f>
        <v>#DIV/0!</v>
      </c>
      <c r="T11" s="32" t="e">
        <f t="array" aca="1" ref="T11" ca="1">SUM(
IF(DataPD[Fraud 
'[% Fraud']]&lt;&gt;"NULL",
IF(DataPD[Partner Type]=ColumnPD[[#This Row],[Metric]],
DataPD[Fraud 
'[% Fraud']]*
SUBTOTAL(9,OFFSET(DataPD[Total Impressions],ROW(DataPD[Total Impressions])-MIN(ROW(DataPD[Total Impressions])),0,1)))))
/
SUM(
IF(DataPD[Fraud 
'[% Fraud']]&lt;&gt;"NULL",
IF(DataPD[Partner Type]=ColumnPD[[#This Row],[Metric]],
SUBTOTAL(9,OFFSET(DataPD[Total Impressions],ROW(DataPD[Total Impressions])-MIN(ROW(DataPD[Total Impressions])),0,1)))))</f>
        <v>#DIV/0!</v>
      </c>
      <c r="U11" s="32" t="e">
        <f t="array" aca="1" ref="U11" ca="1">SUM(
IF(DataPD[Viewability 
'[Total Viewable Rate (Total Net Metrics)']]&lt;&gt;"NULL",
IF(DataPD[Partner Type]=ColumnPD[[#This Row],[Metric]],
DataPD[Viewability 
'[Total Viewable Rate (Total Net Metrics)']]*
SUBTOTAL(9,OFFSET(DataPD[Total Impressions],ROW(DataPD[Total Impressions])-MIN(ROW(DataPD[Total Impressions])),0,1)))))
/
SUM(
IF(DataPD[Viewability 
'[Total Viewable Rate (Total Net Metrics)']]&lt;&gt;"NULL",
IF(DataPD[Partner Type]=ColumnPD[[#This Row],[Metric]],
SUBTOTAL(9,OFFSET(DataPD[Total Impressions],ROW(DataPD[Total Impressions])-MIN(ROW(DataPD[Total Impressions])),0,1)))))</f>
        <v>#DIV/0!</v>
      </c>
      <c r="V11" s="32" t="e">
        <f t="array" aca="1" ref="V11" ca="1">SUM(
IF(DataPD[Display Viewability 
'[Total Viewable Rate (Total Net Metrics)']]&lt;&gt;"NULL",
IF(DataPD[Partner Type]=ColumnPD[[#This Row],[Metric]],
DataPD[Display Viewability 
'[Total Viewable Rate (Total Net Metrics)']]*
SUBTOTAL(9,OFFSET(DataPD[Total Impressions],ROW(DataPD[Total Impressions])-MIN(ROW(DataPD[Total Impressions])),0,1)))))
/
SUM(
IF(DataPD[Display Viewability 
'[Total Viewable Rate (Total Net Metrics)']]&lt;&gt;"NULL",
IF(DataPD[Partner Type]=ColumnPD[[#This Row],[Metric]],
SUBTOTAL(9,OFFSET(DataPD[Total Impressions],ROW(DataPD[Total Impressions])-MIN(ROW(DataPD[Total Impressions])),0,1)))))</f>
        <v>#DIV/0!</v>
      </c>
      <c r="W11" s="32" t="e">
        <f t="array" aca="1" ref="W11" ca="1">SUM(
IF(DataPD[Video Viewability 
'[Total Viewable Rate (Total Net Metrics)']]&lt;&gt;"NULL",
IF(DataPD[Partner Type]=ColumnPD[[#This Row],[Metric]],
DataPD[Video Viewability 
'[Total Viewable Rate (Total Net Metrics)']]*
SUBTOTAL(9,OFFSET(DataPD[Total Impressions],ROW(DataPD[Total Impressions])-MIN(ROW(DataPD[Total Impressions])),0,1)))))
/
SUM(
IF(DataPD[Video Viewability 
'[Total Viewable Rate (Total Net Metrics)']]&lt;&gt;"NULL",
IF(DataPD[Partner Type]=ColumnPD[[#This Row],[Metric]],
SUBTOTAL(9,OFFSET(DataPD[Total Impressions],ROW(DataPD[Total Impressions])-MIN(ROW(DataPD[Total Impressions])),0,1)))))</f>
        <v>#DIV/0!</v>
      </c>
      <c r="X11" s="32" t="e">
        <f t="array" aca="1" ref="X11" ca="1">SUM(
IF(DataPD[GroupM Viewability 
'[% Display Ads Fully in View']]&lt;&gt;"NULL",
IF(DataPD[Partner Type]=ColumnPD[[#This Row],[Metric]],
DataPD[GroupM Viewability 
'[% Display Ads Fully in View']]*
SUBTOTAL(9,OFFSET(DataPD[Total Impressions],ROW(DataPD[Total Impressions])-MIN(ROW(DataPD[Total Impressions])),0,1)))))
/
SUM(
IF(DataPD[GroupM Viewability 
'[% Display Ads Fully in View']]&lt;&gt;"NULL",
IF(DataPD[Partner Type]=ColumnPD[[#This Row],[Metric]],
SUBTOTAL(9,OFFSET(DataPD[Total Impressions],ROW(DataPD[Total Impressions])-MIN(ROW(DataPD[Total Impressions])),0,1)))))</f>
        <v>#DIV/0!</v>
      </c>
      <c r="Y11" s="32" t="e">
        <f t="array" aca="1" ref="Y11" ca="1">SUM(
IF(DataPD[GroupM Viewability 
'[% Videos Fully in View']]&lt;&gt;"NULL",
IF(DataPD[Partner Type]=ColumnPD[[#This Row],[Metric]],
DataPD[GroupM Viewability 
'[% Videos Fully in View']]*
SUBTOTAL(9,OFFSET(DataPD[Total Impressions],ROW(DataPD[Total Impressions])-MIN(ROW(DataPD[Total Impressions])),0,1)))))
/
SUM(
IF(DataPD[GroupM Viewability 
'[% Videos Fully in View']]&lt;&gt;"NULL",
IF(DataPD[Partner Type]=ColumnPD[[#This Row],[Metric]],
SUBTOTAL(9,OFFSET(DataPD[Total Impressions],ROW(DataPD[Total Impressions])-MIN(ROW(DataPD[Total Impressions])),0,1)))))</f>
        <v>#DIV/0!</v>
      </c>
      <c r="Z11" s="32" t="e">
        <f t="array" aca="1" ref="Z11" ca="1">SUM(
IF(DataPD[Publicis Viewability 
'[% Display Ads Fully in View']]&lt;&gt;"NULL",
IF(DataPD[Partner Type]=ColumnPD[[#This Row],[Metric]],
DataPD[Publicis Viewability 
'[% Display Ads Fully in View']]*
SUBTOTAL(9,OFFSET(DataPD[Total Impressions],ROW(DataPD[Total Impressions])-MIN(ROW(DataPD[Total Impressions])),0,1)))))
/
SUM(
IF(DataPD[Publicis Viewability 
'[% Display Ads Fully in View']]&lt;&gt;"NULL",
IF(DataPD[Partner Type]=ColumnPD[[#This Row],[Metric]],
SUBTOTAL(9,OFFSET(DataPD[Total Impressions],ROW(DataPD[Total Impressions])-MIN(ROW(DataPD[Total Impressions])),0,1)))))</f>
        <v>#DIV/0!</v>
      </c>
      <c r="AA11" s="32" t="e">
        <f t="array" aca="1" ref="AA11" ca="1">SUM(
IF(DataPD[Publicis Viewability 
'[% Videos Fully in View']]&lt;&gt;"NULL",
IF(DataPD[Partner Type]=ColumnPD[[#This Row],[Metric]],
DataPD[Publicis Viewability 
'[% Videos Fully in View']]*
SUBTOTAL(9,OFFSET(DataPD[Total Impressions],ROW(DataPD[Total Impressions])-MIN(ROW(DataPD[Total Impressions])),0,1)))))
/
SUM(
IF(DataPD[Publicis Viewability 
'[% Videos Fully in View']]&lt;&gt;"NULL",
IF(DataPD[Partner Type]=ColumnPD[[#This Row],[Metric]],
SUBTOTAL(9,OFFSET(DataPD[Total Impressions],ROW(DataPD[Total Impressions])-MIN(ROW(DataPD[Total Impressions])),0,1)))))</f>
        <v>#DIV/0!</v>
      </c>
      <c r="AB11" s="26"/>
    </row>
    <row r="12" spans="1:121" s="18" customFormat="1" ht="16.5" hidden="1" customHeight="1" x14ac:dyDescent="0.35">
      <c r="A12" s="233"/>
      <c r="B12" s="234"/>
      <c r="C12" s="234"/>
      <c r="D12" s="234"/>
      <c r="E12" s="53"/>
      <c r="F12" s="53"/>
      <c r="G12" s="227" t="s">
        <v>8</v>
      </c>
      <c r="H12" s="227"/>
      <c r="I12" s="256"/>
      <c r="J12" s="105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  <c r="AB12" s="26"/>
    </row>
    <row r="13" spans="1:121" s="18" customFormat="1" ht="16.5" hidden="1" customHeight="1" x14ac:dyDescent="0.35">
      <c r="A13" s="22"/>
      <c r="B13" s="33"/>
      <c r="C13" s="33"/>
      <c r="D13" s="69"/>
      <c r="E13" s="56"/>
      <c r="F13" s="53"/>
      <c r="G13" s="227" t="s">
        <v>8</v>
      </c>
      <c r="H13" s="227"/>
      <c r="I13" s="256"/>
      <c r="J13" s="106" t="s">
        <v>6</v>
      </c>
      <c r="K13" s="107">
        <v>0</v>
      </c>
      <c r="L13" s="107">
        <v>0</v>
      </c>
      <c r="M13" s="107">
        <v>0</v>
      </c>
      <c r="N13" s="107">
        <v>0</v>
      </c>
      <c r="O13" s="107">
        <v>0</v>
      </c>
      <c r="P13" s="107">
        <v>0</v>
      </c>
      <c r="Q13" s="107">
        <v>0</v>
      </c>
      <c r="R13" s="107">
        <v>0</v>
      </c>
      <c r="S13" s="107">
        <v>0</v>
      </c>
      <c r="T13" s="107">
        <v>0</v>
      </c>
      <c r="U13" s="107">
        <v>0</v>
      </c>
      <c r="V13" s="107">
        <v>0</v>
      </c>
      <c r="W13" s="107">
        <v>0</v>
      </c>
      <c r="X13" s="107">
        <v>0</v>
      </c>
      <c r="Y13" s="107">
        <v>0</v>
      </c>
      <c r="Z13" s="107">
        <v>1</v>
      </c>
      <c r="AA13" s="107">
        <v>0</v>
      </c>
      <c r="AB13" s="26"/>
    </row>
    <row r="14" spans="1:121" s="18" customFormat="1" ht="15.75" customHeight="1" thickBot="1" x14ac:dyDescent="0.4">
      <c r="B14" s="35"/>
      <c r="C14" s="22"/>
      <c r="D14" s="36"/>
      <c r="E14" s="55"/>
      <c r="F14" s="64"/>
      <c r="G14" s="55"/>
      <c r="H14" s="36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146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tr">
        <f>IFERROR(
IF(DataPD[[#Headers],[Partner Type]]="Brand",VLOOKUP(DataPD[[#This Row],[Campaign]],Map_Campaign[],2,0),
IF(DataPD[[#Headers],[Partner Type]]="Region (Team)",VLOOKUP(DataPD[[#This Row],[Team]],Map_Team[],2,0),
IF(DataPD[[#Headers],[Partner Type]]="Region (Campaign)",VLOOKUP(DataPD[[#This Row],[Campaign]],Map_Campaign[],3,0),
IF(DataPD[[#Headers],[Partner Type]]="Partner Type",VLOOKUP(DataPD[[#This Row],[Partner]],Map_Partner[],2,0),
IF(DataPD[[#Headers],[Partner Type]]="Device Type",VLOOKUP(DataPD[[#This Row],[Placement]],Map_Placement[],3,0),
IF(DataPD[[#Headers],[Partner Type]]="Creative Size",VLOOKUP(DataPD[[#This Row],[Placement]],Map_Placement[],2,0),"Not a mapping option.")))))),
"[Unmapped]")</f>
        <v>Direct</v>
      </c>
      <c r="C16" s="46" t="s">
        <v>10</v>
      </c>
      <c r="D16" s="46" t="s">
        <v>10</v>
      </c>
      <c r="E16" s="46" t="s">
        <v>142</v>
      </c>
      <c r="F16" s="46" t="s">
        <v>10</v>
      </c>
      <c r="G16" s="46" t="s">
        <v>126</v>
      </c>
      <c r="H16" s="46" t="s">
        <v>124</v>
      </c>
      <c r="I16" s="47">
        <v>292953764</v>
      </c>
      <c r="J16" s="48">
        <v>450881961</v>
      </c>
      <c r="K16" s="204">
        <v>0.7</v>
      </c>
      <c r="L16" s="205">
        <v>0.98</v>
      </c>
      <c r="M16" s="205">
        <v>0.95</v>
      </c>
      <c r="N16" s="49">
        <v>0.05</v>
      </c>
      <c r="O16" s="49">
        <v>0.02</v>
      </c>
      <c r="P16" s="49">
        <v>0.02</v>
      </c>
      <c r="Q16" s="49">
        <v>0.01</v>
      </c>
      <c r="R16" s="49">
        <v>0.01</v>
      </c>
      <c r="S16" s="49">
        <v>0.01</v>
      </c>
      <c r="T16" s="49">
        <v>0.03</v>
      </c>
      <c r="U16" s="49">
        <v>0.55000000000000004</v>
      </c>
      <c r="V16" s="49">
        <v>0.6</v>
      </c>
      <c r="W16" s="49">
        <v>0.5</v>
      </c>
      <c r="X16" s="49">
        <v>0.35</v>
      </c>
      <c r="Y16" s="49">
        <v>0.25</v>
      </c>
      <c r="Z16" s="49">
        <v>0.35</v>
      </c>
      <c r="AA16" s="49">
        <v>0.25</v>
      </c>
    </row>
    <row r="17" spans="6:13" ht="15" customHeight="1" x14ac:dyDescent="0.25">
      <c r="K17" s="10"/>
      <c r="L17" s="11"/>
      <c r="M17" s="11"/>
    </row>
    <row r="18" spans="6:13" ht="15" customHeight="1" x14ac:dyDescent="0.25">
      <c r="K18" s="10"/>
      <c r="L18" s="11"/>
      <c r="M18" s="11"/>
    </row>
    <row r="19" spans="6:13" ht="15" customHeight="1" x14ac:dyDescent="0.25">
      <c r="K19" s="10"/>
      <c r="L19" s="11"/>
      <c r="M19" s="11"/>
    </row>
    <row r="20" spans="6:13" ht="15" customHeight="1" x14ac:dyDescent="0.25">
      <c r="K20" s="10"/>
      <c r="L20" s="11"/>
      <c r="M20" s="11"/>
    </row>
    <row r="21" spans="6:13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6">
    <mergeCell ref="G6:I6"/>
    <mergeCell ref="G13:I13"/>
    <mergeCell ref="G12:I12"/>
    <mergeCell ref="A12:D12"/>
    <mergeCell ref="G8:I8"/>
    <mergeCell ref="G7:I7"/>
  </mergeCells>
  <conditionalFormatting sqref="N16:AA16">
    <cfRule type="cellIs" dxfId="132" priority="9" operator="equal">
      <formula>""</formula>
    </cfRule>
  </conditionalFormatting>
  <conditionalFormatting sqref="A21:XFD1048576 A16:J20 N16:XFD20 A1:XFD6 A8:XFD15 A7:J7 AB7:XFD7">
    <cfRule type="expression" dxfId="131" priority="8">
      <formula>ISERROR(A1)</formula>
    </cfRule>
  </conditionalFormatting>
  <conditionalFormatting sqref="N16:AA16 K9:AA11">
    <cfRule type="expression" dxfId="130" priority="11">
      <formula>IF(K$7="N/A",0,IF(K$7="Above",K9&lt;=(1-$J$4)*K$8,K9&gt;=(1+$J$4)*K$8))</formula>
    </cfRule>
    <cfRule type="expression" dxfId="129" priority="12">
      <formula>IF(OR(K$7="N/A",K9=0),0,IF(K$7="Above",K9&gt;=(1+$J$3)*K$8,K9&lt;=(1-$J$3)*K$8))</formula>
    </cfRule>
  </conditionalFormatting>
  <conditionalFormatting sqref="K16:M20">
    <cfRule type="expression" dxfId="128" priority="2">
      <formula>ISERROR(K16)</formula>
    </cfRule>
  </conditionalFormatting>
  <conditionalFormatting sqref="K7:AA7">
    <cfRule type="expression" dxfId="127" priority="1">
      <formula>ISERROR(K7)</formula>
    </cfRule>
  </conditionalFormatting>
  <dataValidations count="7">
    <dataValidation allowBlank="1" showInputMessage="1" showErrorMessage="1" errorTitle="Invalid Entry" error="Please select/enter a value from 1 to 5 from the dropdown." sqref="J9 K10:AA11 AB12:XFD13 J11 G9 A13:D13" xr:uid="{00000000-0002-0000-0700-000000000000}"/>
    <dataValidation allowBlank="1" showInputMessage="1" showErrorMessage="1" prompt="Cell will highlight red if performance deviates by more than this percentage of the client goal." sqref="J4" xr:uid="{00000000-0002-0000-0700-000001000000}"/>
    <dataValidation allowBlank="1" showInputMessage="1" showErrorMessage="1" prompt="Cell will highlight yellow if performance deviates by more than this percentage of the client goal." sqref="J3" xr:uid="{00000000-0002-0000-0700-000002000000}"/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700-000003000000}">
      <formula1>BMRK_List</formula1>
    </dataValidation>
    <dataValidation type="list" allowBlank="1" showInputMessage="1" showErrorMessage="1" errorTitle="Invalid Entry" error="Please select/enter a value from 1 to 5 from the dropdown." sqref="K13:AA13" xr:uid="{00000000-0002-0000-0700-000005000000}">
      <formula1>"0,1,2,3,4,5"</formula1>
    </dataValidation>
    <dataValidation type="list" allowBlank="1" showInputMessage="1" showErrorMessage="1" errorTitle="Invalid Entry" error="Please select/enter a value from 1 to 5 from the dropdown." sqref="J10" xr:uid="{00000000-0002-0000-0700-000006000000}">
      <formula1>DeviceDropdown</formula1>
    </dataValidation>
    <dataValidation type="list" allowBlank="1" showInputMessage="1" showErrorMessage="1" sqref="X27" xr:uid="{00000000-0002-0000-0700-000004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0A6A607D-AA51-4FB5-9F90-12E14ED547A2}">
            <xm:f>NOT(ISERROR(SEARCH("NULL",N16)))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N16:AA16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5" width="30.453125" style="50" customWidth="1"/>
    <col min="6" max="6" width="20.54296875" style="50" hidden="1" customWidth="1"/>
    <col min="7" max="7" width="21.7265625" style="50" customWidth="1"/>
    <col min="8" max="8" width="20.54296875" style="50" hidden="1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1"/>
      <c r="E1" s="52"/>
      <c r="F1" s="52"/>
      <c r="G1" s="52"/>
      <c r="H1" s="13" t="s">
        <v>21</v>
      </c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1"/>
      <c r="E2" s="52"/>
      <c r="F2" s="52"/>
      <c r="G2" s="52"/>
      <c r="H2" s="16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1"/>
      <c r="E3" s="52"/>
      <c r="F3" s="52"/>
      <c r="G3" s="52"/>
      <c r="H3" s="16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1"/>
      <c r="E4" s="52"/>
      <c r="F4" s="52"/>
      <c r="G4" s="52"/>
      <c r="H4" s="16"/>
      <c r="I4" s="16"/>
      <c r="J4" s="77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1"/>
      <c r="E5" s="52"/>
      <c r="F5" s="52"/>
      <c r="G5" s="52"/>
      <c r="H5" s="16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B6" s="76" t="s">
        <v>155</v>
      </c>
      <c r="C6" s="76"/>
      <c r="D6" s="237" t="s">
        <v>155</v>
      </c>
      <c r="E6" s="237"/>
      <c r="F6" s="70"/>
      <c r="G6" s="250" t="s">
        <v>133</v>
      </c>
      <c r="H6" s="251"/>
      <c r="I6" s="252"/>
      <c r="J6" s="11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AB6" s="26"/>
    </row>
    <row r="7" spans="1:121" s="18" customFormat="1" ht="15" hidden="1" customHeight="1" thickBot="1" x14ac:dyDescent="0.4">
      <c r="A7" s="16"/>
      <c r="B7" s="28"/>
      <c r="C7" s="28"/>
      <c r="D7" s="28"/>
      <c r="E7" s="53"/>
      <c r="F7" s="53"/>
      <c r="G7" s="258" t="s">
        <v>132</v>
      </c>
      <c r="H7" s="227"/>
      <c r="I7" s="256"/>
      <c r="J7" s="105" t="s">
        <v>0</v>
      </c>
      <c r="K7" s="155" t="s">
        <v>2</v>
      </c>
      <c r="L7" s="155" t="s">
        <v>2</v>
      </c>
      <c r="M7" s="156" t="s">
        <v>2</v>
      </c>
      <c r="N7" s="156" t="s">
        <v>3</v>
      </c>
      <c r="O7" s="156" t="s">
        <v>3</v>
      </c>
      <c r="P7" s="156" t="s">
        <v>3</v>
      </c>
      <c r="Q7" s="29" t="s">
        <v>3</v>
      </c>
      <c r="R7" s="155" t="s">
        <v>3</v>
      </c>
      <c r="S7" s="155" t="s">
        <v>3</v>
      </c>
      <c r="T7" s="155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5" t="s">
        <v>2</v>
      </c>
      <c r="AA7" s="155" t="s">
        <v>2</v>
      </c>
      <c r="AB7" s="26"/>
    </row>
    <row r="8" spans="1:121" s="18" customFormat="1" ht="15.75" customHeight="1" x14ac:dyDescent="0.35">
      <c r="B8" s="70"/>
      <c r="C8" s="70"/>
      <c r="D8" s="238" t="str">
        <f ca="1">MID(CELL("filename",A1),FIND("]",CELL("filename",A1))+1,255)&amp;" Level Scorecard"</f>
        <v>Campaign, Partner, Device Level Scorecard</v>
      </c>
      <c r="E8" s="238"/>
      <c r="F8" s="70"/>
      <c r="G8" s="230" t="s">
        <v>132</v>
      </c>
      <c r="H8" s="231"/>
      <c r="I8" s="257"/>
      <c r="J8" s="126" t="s">
        <v>16</v>
      </c>
      <c r="K8" s="127">
        <f>VLOOKUP(K6,Benchmark_Legend[],MATCH(ColumnCPD[[#This Row],[Metric]],Benchmark_Legend[#Headers],0),0)</f>
        <v>0.7</v>
      </c>
      <c r="L8" s="127">
        <f>VLOOKUP(L6,Benchmark_Legend[],MATCH(ColumnCPD[[#This Row],[Metric]],Benchmark_Legend[#Headers],0),0)</f>
        <v>0.98</v>
      </c>
      <c r="M8" s="127">
        <f>VLOOKUP(M6,Benchmark_Legend[],MATCH(ColumnCPD[[#This Row],[Metric]],Benchmark_Legend[#Headers],0),0)</f>
        <v>0.95</v>
      </c>
      <c r="N8" s="127">
        <f>VLOOKUP(N6,Benchmark_Legend[],MATCH(ColumnCPD[[#This Row],[Metric]],Benchmark_Legend[#Headers],0),0)</f>
        <v>0.05</v>
      </c>
      <c r="O8" s="127">
        <f>VLOOKUP(O6,Benchmark_Legend[],MATCH(ColumnCPD[[#This Row],[Metric]],Benchmark_Legend[#Headers],0),0)</f>
        <v>0.02</v>
      </c>
      <c r="P8" s="127">
        <f>VLOOKUP(P6,Benchmark_Legend[],MATCH(ColumnCPD[[#This Row],[Metric]],Benchmark_Legend[#Headers],0),0)</f>
        <v>0.02</v>
      </c>
      <c r="Q8" s="127">
        <f>VLOOKUP(Q6,Benchmark_Legend[],MATCH(ColumnCPD[[#This Row],[Metric]],Benchmark_Legend[#Headers],0),0)</f>
        <v>0.01</v>
      </c>
      <c r="R8" s="127">
        <f>VLOOKUP(R6,Benchmark_Legend[],MATCH(ColumnCPD[[#This Row],[Metric]],Benchmark_Legend[#Headers],0),0)</f>
        <v>0.01</v>
      </c>
      <c r="S8" s="127">
        <f>VLOOKUP(S6,Benchmark_Legend[],MATCH(ColumnCPD[[#This Row],[Metric]],Benchmark_Legend[#Headers],0),0)</f>
        <v>0.01</v>
      </c>
      <c r="T8" s="127">
        <f>VLOOKUP(T6,Benchmark_Legend[],MATCH(ColumnCPD[[#This Row],[Metric]],Benchmark_Legend[#Headers],0),0)</f>
        <v>0.03</v>
      </c>
      <c r="U8" s="127">
        <f>VLOOKUP(U6,Benchmark_Legend[],MATCH(ColumnCPD[[#This Row],[Metric]],Benchmark_Legend[#Headers],0),0)</f>
        <v>0.55000000000000004</v>
      </c>
      <c r="V8" s="127">
        <f>VLOOKUP(V6,Benchmark_Legend[],MATCH(ColumnCPD[[#This Row],[Metric]],Benchmark_Legend[#Headers],0),0)</f>
        <v>0.6</v>
      </c>
      <c r="W8" s="127">
        <f>VLOOKUP(W6,Benchmark_Legend[],MATCH(ColumnCPD[[#This Row],[Metric]],Benchmark_Legend[#Headers],0),0)</f>
        <v>0.5</v>
      </c>
      <c r="X8" s="127">
        <f>VLOOKUP(X6,Benchmark_Legend[],MATCH(ColumnCPD[[#This Row],[Metric]],Benchmark_Legend[#Headers],0),0)</f>
        <v>0.35</v>
      </c>
      <c r="Y8" s="127">
        <f>VLOOKUP(Y6,Benchmark_Legend[],MATCH(ColumnCPD[[#This Row],[Metric]],Benchmark_Legend[#Headers],0),0)</f>
        <v>0.25</v>
      </c>
      <c r="Z8" s="127">
        <f>VLOOKUP(Z6,Benchmark_Legend[],MATCH(ColumnCPD[[#This Row],[Metric]],Benchmark_Legend[#Headers],0),0)</f>
        <v>0.35</v>
      </c>
      <c r="AA8" s="127">
        <f>VLOOKUP(AA6,Benchmark_Legend[],MATCH(ColumnCPD[[#This Row],[Metric]],Benchmark_Legend[#Headers],0),0)</f>
        <v>0.25</v>
      </c>
      <c r="AB8" s="26"/>
    </row>
    <row r="9" spans="1:121" s="18" customFormat="1" ht="15.75" customHeight="1" thickBot="1" x14ac:dyDescent="0.4">
      <c r="B9" s="232" t="s">
        <v>154</v>
      </c>
      <c r="C9" s="232"/>
      <c r="D9" s="232"/>
      <c r="E9" s="232"/>
      <c r="F9" s="232"/>
      <c r="G9" s="117" t="s">
        <v>14</v>
      </c>
      <c r="H9" s="118"/>
      <c r="I9" s="119"/>
      <c r="J9" s="112" t="s">
        <v>130</v>
      </c>
      <c r="K9" s="99">
        <f t="array" aca="1" ref="K9" ca="1">SUM(
IF((DataCPD[Measured Rate 
'[% Measured']]&lt;&gt;"NULL"),
DataCPD[Measured Rate 
'[% Measured']]*
SUBTOTAL(9,OFFSET(DataCPD[Total Impressions],ROW(DataCPD[Total Impressions])-MIN(ROW(DataCPD[Total Impressions])),0,1))))
/
SUM(
IF((DataCPD[Measured Rate 
'[% Measured']]&lt;&gt;"NULL"),
SUBTOTAL(9,OFFSET(DataCPD[Total Impressions],ROW(DataCPD[Total Impressions])-MIN(ROW(DataCPD[Total Impressions])),0,1))))</f>
        <v>0.7</v>
      </c>
      <c r="L9" s="99">
        <f t="array" aca="1" ref="L9" ca="1">SUM(
IF((DataCPD[See-Through Rate 
'[% Visible']]&lt;&gt;"NULL"),
DataCPD[See-Through Rate 
'[% Visible']]*
SUBTOTAL(9,OFFSET(DataCPD[Total Impressions],ROW(DataCPD[Total Impressions])-MIN(ROW(DataCPD[Total Impressions])),0,1))))
/
SUM(
IF((DataCPD[See-Through Rate 
'[% Visible']]&lt;&gt;"NULL"),
SUBTOTAL(9,OFFSET(DataCPD[Total Impressions],ROW(DataCPD[Total Impressions])-MIN(ROW(DataCPD[Total Impressions])),0,1))))</f>
        <v>0.98</v>
      </c>
      <c r="M9" s="111">
        <f t="array" aca="1" ref="M9" ca="1">SUM(
IF((DataCPD[Brand Safety 
'[% Passed']]&lt;&gt;"NULL"),
DataCPD[Brand Safety 
'[% Passed']]*
SUBTOTAL(9,OFFSET(DataCPD[Total Impressions],ROW(DataCPD[Total Impressions])-MIN(ROW(DataCPD[Total Impressions])),0,1))))
/
SUM(
IF((DataCPD[Brand Safety 
'[% Passed']]&lt;&gt;"NULL"),
SUBTOTAL(9,OFFSET(DataCPD[Total Impressions],ROW(DataCPD[Total Impressions])-MIN(ROW(DataCPD[Total Impressions])),0,1))))</f>
        <v>0.95</v>
      </c>
      <c r="N9" s="111">
        <f t="array" aca="1" ref="N9" ca="1">SUM(
IF((DataCPD[Brand Safety 
'[% Failed']]&lt;&gt;"NULL"),
DataCPD[Brand Safety 
'[% Failed']]*
SUBTOTAL(9,OFFSET(DataCPD[Total Impressions],ROW(DataCPD[Total Impressions])-MIN(ROW(DataCPD[Total Impressions])),0,1))))
/
SUM(
IF((DataCPD[Brand Safety 
'[% Failed']]&lt;&gt;"NULL"),
SUBTOTAL(9,OFFSET(DataCPD[Total Impressions],ROW(DataCPD[Total Impressions])-MIN(ROW(DataCPD[Total Impressions])),0,1))))</f>
        <v>0.05</v>
      </c>
      <c r="O9" s="111">
        <f t="array" aca="1" ref="O9" ca="1">SUM(
IF((DataCPD[Brand Safety 
'[% Failed by Content']]&lt;&gt;"NULL"),
DataCPD[Brand Safety 
'[% Failed by Content']]*
SUBTOTAL(9,OFFSET(DataCPD[Total Impressions],ROW(DataCPD[Total Impressions])-MIN(ROW(DataCPD[Total Impressions])),0,1))))
/
SUM(
IF((DataCPD[Brand Safety 
'[% Failed by Content']]&lt;&gt;"NULL"),
SUBTOTAL(9,OFFSET(DataCPD[Total Impressions],ROW(DataCPD[Total Impressions])-MIN(ROW(DataCPD[Total Impressions])),0,1))))</f>
        <v>0.02</v>
      </c>
      <c r="P9" s="111">
        <f t="array" aca="1" ref="P9" ca="1">SUM(
IF((DataCPD[Brand Safety 
'[% Failed by Geo']]&lt;&gt;"NULL"),
DataCPD[Brand Safety 
'[% Failed by Geo']]*
SUBTOTAL(9,OFFSET(DataCPD[Total Impressions],ROW(DataCPD[Total Impressions])-MIN(ROW(DataCPD[Total Impressions])),0,1))))
/
SUM(
IF((DataCPD[Brand Safety 
'[% Failed by Geo']]&lt;&gt;"NULL"),
SUBTOTAL(9,OFFSET(DataCPD[Total Impressions],ROW(DataCPD[Total Impressions])-MIN(ROW(DataCPD[Total Impressions])),0,1))))</f>
        <v>0.02</v>
      </c>
      <c r="Q9" s="99">
        <f t="array" aca="1" ref="Q9" ca="1">SUM(
IF((DataCPD[Brand Safety 
'[% Failed by Keyword']]&lt;&gt;"NULL"),
DataCPD[Brand Safety 
'[% Failed by Keyword']]*
SUBTOTAL(9,OFFSET(DataCPD[Total Impressions],ROW(DataCPD[Total Impressions])-MIN(ROW(DataCPD[Total Impressions])),0,1))))
/
SUM(
IF((DataCPD[Brand Safety 
'[% Failed by Keyword']]&lt;&gt;"NULL"),
SUBTOTAL(9,OFFSET(DataCPD[Total Impressions],ROW(DataCPD[Total Impressions])-MIN(ROW(DataCPD[Total Impressions])),0,1))))</f>
        <v>0.01</v>
      </c>
      <c r="R9" s="99">
        <f t="array" aca="1" ref="R9" ca="1">SUM(
IF((DataCPD[Brand Safety 
'[% Failed by Blacklist']]&lt;&gt;"NULL"),
DataCPD[Brand Safety 
'[% Failed by Blacklist']]*
SUBTOTAL(9,OFFSET(DataCPD[Total Impressions],ROW(DataCPD[Total Impressions])-MIN(ROW(DataCPD[Total Impressions])),0,1))))
/
SUM(
IF((DataCPD[Brand Safety 
'[% Failed by Blacklist']]&lt;&gt;"NULL"),
SUBTOTAL(9,OFFSET(DataCPD[Total Impressions],ROW(DataCPD[Total Impressions])-MIN(ROW(DataCPD[Total Impressions])),0,1))))</f>
        <v>0.01</v>
      </c>
      <c r="S9" s="99">
        <f t="array" aca="1" ref="S9" ca="1">SUM(
IF((DataCPD[Brand Safety 
'[% Failed by Language']]&lt;&gt;"NULL"),
DataCPD[Brand Safety 
'[% Failed by Language']]*
SUBTOTAL(9,OFFSET(DataCPD[Total Impressions],ROW(DataCPD[Total Impressions])-MIN(ROW(DataCPD[Total Impressions])),0,1))))
/
SUM(
IF((DataCPD[Brand Safety 
'[% Failed by Language']]&lt;&gt;"NULL"),
SUBTOTAL(9,OFFSET(DataCPD[Total Impressions],ROW(DataCPD[Total Impressions])-MIN(ROW(DataCPD[Total Impressions])),0,1))))</f>
        <v>0.01</v>
      </c>
      <c r="T9" s="99">
        <f t="array" aca="1" ref="T9" ca="1">SUM(
IF((DataCPD[Fraud 
'[% Fraud']]&lt;&gt;"NULL"),
DataCPD[Fraud 
'[% Fraud']]*
SUBTOTAL(9,OFFSET(DataCPD[Total Impressions],ROW(DataCPD[Total Impressions])-MIN(ROW(DataCPD[Total Impressions])),0,1))))
/
SUM(
IF((DataCPD[Fraud 
'[% Fraud']]&lt;&gt;"NULL"),
SUBTOTAL(9,OFFSET(DataCPD[Total Impressions],ROW(DataCPD[Total Impressions])-MIN(ROW(DataCPD[Total Impressions])),0,1))))</f>
        <v>0.03</v>
      </c>
      <c r="U9" s="99">
        <f t="array" aca="1" ref="U9" ca="1">SUM(
IF((DataCPD[Viewability 
'[Total Viewable Rate (Total Net Metrics)']]&lt;&gt;"NULL"),
DataCPD[Viewability 
'[Total Viewable Rate (Total Net Metrics)']]*SUBTOTAL(9,OFFSET(DataCPD[Measured Impressions],ROW(DataCPD[Measured Impressions])-MIN(ROW(DataCPD[Measured Impressions])),0,1))))
/
SUM(
IF((DataCPD[Viewability 
'[Total Viewable Rate (Total Net Metrics)']]&lt;&gt;"NULL"),
SUBTOTAL(9,OFFSET(DataCPD[Measured Impressions],ROW(DataCPD[Measured Impressions])-MIN(ROW(DataCPD[Measured Impressions])),0,1))))</f>
        <v>0.55000000000000004</v>
      </c>
      <c r="V9" s="99">
        <f t="array" aca="1" ref="V9" ca="1">SUM(
IF((DataCPD[Display Viewability 
'[Total Viewable Rate (Total Net Metrics)']]&lt;&gt;"NULL"),
DataCPD[Display Viewability 
'[Total Viewable Rate (Total Net Metrics)']]*SUBTOTAL(9,OFFSET(DataCPD[Measured Impressions],ROW(DataCPD[Measured Impressions])-MIN(ROW(DataCPD[Measured Impressions])),0,1))))
/
SUM(
IF((DataCPD[Display Viewability 
'[Total Viewable Rate (Total Net Metrics)']]&lt;&gt;"NULL"),
SUBTOTAL(9,OFFSET(DataCPD[Measured Impressions],ROW(DataCPD[Measured Impressions])-MIN(ROW(DataCPD[Measured Impressions])),0,1))))</f>
        <v>0.6</v>
      </c>
      <c r="W9" s="111">
        <f t="array" aca="1" ref="W9" ca="1">SUM(
IF((DataCPD[Video Viewability 
'[Total Viewable Rate (Total Net Metrics)']]&lt;&gt;"NULL"),
DataCPD[Video Viewability 
'[Total Viewable Rate (Total Net Metrics)']]*SUBTOTAL(9,OFFSET(DataCPD[Measured Impressions],ROW(DataCPD[Measured Impressions])-MIN(ROW(DataCPD[Measured Impressions])),0,1))))
/
SUM(
IF((DataCPD[Video Viewability 
'[Total Viewable Rate (Total Net Metrics)']]&lt;&gt;"NULL"),
SUBTOTAL(9,OFFSET(DataCPD[Measured Impressions],ROW(DataCPD[Measured Impressions])-MIN(ROW(DataCPD[Measured Impressions])),0,1))))</f>
        <v>0.5</v>
      </c>
      <c r="X9" s="99">
        <f t="array" aca="1" ref="X9" ca="1">SUM(
IF((DataCPD[GroupM Viewability 
'[% Display Ads Fully in View']]&lt;&gt;"NULL"),
DataCPD[GroupM Viewability 
'[% Display Ads Fully in View']]*SUBTOTAL(9,OFFSET(DataCPD[Measured Impressions],ROW(DataCPD[Measured Impressions])-MIN(ROW(DataCPD[Measured Impressions])),0,1))))
/
SUM(
IF((DataCPD[GroupM Viewability 
'[% Display Ads Fully in View']]&lt;&gt;"NULL"),
SUBTOTAL(9,OFFSET(DataCPD[Measured Impressions],ROW(DataCPD[Measured Impressions])-MIN(ROW(DataCPD[Measured Impressions])),0,1))))</f>
        <v>0.35</v>
      </c>
      <c r="Y9" s="111">
        <f t="array" aca="1" ref="Y9" ca="1">SUM(
IF((DataCPD[GroupM Viewability 
'[% Videos Fully in View']]&lt;&gt;"NULL"),
DataCPD[GroupM Viewability 
'[% Videos Fully in View']]*SUBTOTAL(9,OFFSET(DataCPD[Measured Impressions],ROW(DataCPD[Measured Impressions])-MIN(ROW(DataCPD[Measured Impressions])),0,1))))
/
SUM(
IF((DataCPD[GroupM Viewability 
'[% Videos Fully in View']]&lt;&gt;"NULL"),
SUBTOTAL(9,OFFSET(DataCPD[Measured Impressions],ROW(DataCPD[Measured Impressions])-MIN(ROW(DataCPD[Measured Impressions])),0,1))))</f>
        <v>0.25</v>
      </c>
      <c r="Z9" s="99">
        <f t="array" aca="1" ref="Z9" ca="1">SUM(
IF((DataCPD[Publicis Viewability 
'[% Display Ads Fully in View']]&lt;&gt;"NULL"),
DataCPD[Publicis Viewability 
'[% Display Ads Fully in View']]*SUBTOTAL(9,OFFSET(DataCPD[Measured Impressions],ROW(DataCPD[Measured Impressions])-MIN(ROW(DataCPD[Measured Impressions])),0,1))))
/
SUM(
IF((DataCPD[Publicis Viewability 
'[% Display Ads Fully in View']]&lt;&gt;"NULL"),
SUBTOTAL(9,OFFSET(DataCPD[Measured Impressions],ROW(DataCPD[Measured Impressions])-MIN(ROW(DataCPD[Measured Impressions])),0,1))))</f>
        <v>0.35</v>
      </c>
      <c r="AA9" s="99">
        <f t="array" aca="1" ref="AA9" ca="1">SUM(
IF((DataCPD[Publicis Viewability 
'[% Videos Fully in View']]&lt;&gt;"NULL"),
DataCPD[Publicis Viewability 
'[% Videos Fully in View']]*SUBTOTAL(9,OFFSET(DataCPD[Measured Impressions],ROW(DataCPD[Measured Impressions])-MIN(ROW(DataCPD[Measured Impressions])),0,1))))
/
SUM(
IF((DataCPD[Publicis Viewability 
'[% Videos Fully in View']]&lt;&gt;"NULL"),
SUBTOTAL(9,OFFSET(DataCPD[Measured Impressions],ROW(DataCPD[Measured Impressions])-MIN(ROW(DataCPD[Measured Impressions])),0,1))))</f>
        <v>0.25</v>
      </c>
      <c r="AB9" s="26"/>
    </row>
    <row r="10" spans="1:121" s="18" customFormat="1" ht="15.75" hidden="1" customHeight="1" x14ac:dyDescent="0.35">
      <c r="A10" s="55"/>
      <c r="B10" s="56"/>
      <c r="C10" s="56"/>
      <c r="D10" s="56"/>
      <c r="E10" s="57"/>
      <c r="F10" s="63"/>
      <c r="G10" s="115"/>
      <c r="H10" s="115"/>
      <c r="I10" s="116"/>
      <c r="J10" s="101" t="s">
        <v>126</v>
      </c>
      <c r="K10" s="31">
        <f t="array" aca="1" ref="K10" ca="1">SUM(
IF(DataCPD[Measured Rate 
'[% Measured']]&lt;&gt;"NULL",
IF(DataCPD[Device Type]=ColumnCPD[[#This Row],[Metric]],
DataCPD[Measured Rate 
'[% Measured']]*
SUBTOTAL(9,OFFSET(DataCPD[Total Impressions],ROW(DataCPD[Total Impressions])-MIN(ROW(DataCPD[Total Impressions])),0,1)))))
/
SUM(
IF(DataCPD[Measured Rate 
'[% Measured']]&lt;&gt;"NULL",
IF(DataCPD[Device Type]=ColumnCPD[[#This Row],[Metric]],
SUBTOTAL(9,OFFSET(DataCPD[Total Impressions],ROW(DataCPD[Total Impressions])-MIN(ROW(DataCPD[Total Impressions])),0,1)))))</f>
        <v>0.7</v>
      </c>
      <c r="L10" s="32">
        <f t="array" aca="1" ref="L10" ca="1">SUM(
IF(DataCPD[See-Through Rate 
'[% Visible']]&lt;&gt;"NULL",
IF(DataCPD[Device Type]=ColumnCPD[[#This Row],[Metric]],
DataCPD[See-Through Rate 
'[% Visible']]*
SUBTOTAL(9,OFFSET(DataCPD[Total Impressions],ROW(DataCPD[Total Impressions])-MIN(ROW(DataCPD[Total Impressions])),0,1)))))
/
SUM(
IF(DataCPD[See-Through Rate 
'[% Visible']]&lt;&gt;"NULL",
IF(DataCPD[Device Type]=ColumnCPD[[#This Row],[Metric]],
SUBTOTAL(9,OFFSET(DataCPD[Total Impressions],ROW(DataCPD[Total Impressions])-MIN(ROW(DataCPD[Total Impressions])),0,1)))))</f>
        <v>0.98</v>
      </c>
      <c r="M10" s="32">
        <f t="array" aca="1" ref="M10" ca="1">SUM(
IF(DataCPD[Brand Safety 
'[% Passed']]&lt;&gt;"NULL",
IF(DataCPD[Device Type]=ColumnCPD[[#This Row],[Metric]],
DataCPD[Brand Safety 
'[% Passed']]*
SUBTOTAL(9,OFFSET(DataCPD[Total Impressions],ROW(DataCPD[Total Impressions])-MIN(ROW(DataCPD[Total Impressions])),0,1)))))
/
SUM(
IF(DataCPD[Brand Safety 
'[% Passed']]&lt;&gt;"NULL",
IF(DataCPD[Device Type]=ColumnCPD[[#This Row],[Metric]],
SUBTOTAL(9,OFFSET(DataCPD[Total Impressions],ROW(DataCPD[Total Impressions])-MIN(ROW(DataCPD[Total Impressions])),0,1)))))</f>
        <v>0.95</v>
      </c>
      <c r="N10" s="32">
        <f t="array" aca="1" ref="N10" ca="1">SUM(
IF(DataCPD[Brand Safety 
'[% Failed']]&lt;&gt;"NULL",
IF(DataCPD[Device Type]=ColumnCPD[[#This Row],[Metric]],
DataCPD[Brand Safety 
'[% Failed']]*
SUBTOTAL(9,OFFSET(DataCPD[Total Impressions],ROW(DataCPD[Total Impressions])-MIN(ROW(DataCPD[Total Impressions])),0,1)))))
/
SUM(
IF(DataCPD[Brand Safety 
'[% Failed']]&lt;&gt;"NULL",
IF(DataCPD[Device Type]=ColumnCPD[[#This Row],[Metric]],
SUBTOTAL(9,OFFSET(DataCPD[Total Impressions],ROW(DataCPD[Total Impressions])-MIN(ROW(DataCPD[Total Impressions])),0,1)))))</f>
        <v>0.05</v>
      </c>
      <c r="O10" s="32">
        <f t="array" aca="1" ref="O10" ca="1">SUM(
IF(DataCPD[Brand Safety 
'[% Failed by Content']]&lt;&gt;"NULL",
IF(DataCPD[Device Type]=ColumnCPD[[#This Row],[Metric]],
DataCPD[Brand Safety 
'[% Failed by Content']]*
SUBTOTAL(9,OFFSET(DataCPD[Total Impressions],ROW(DataCPD[Total Impressions])-MIN(ROW(DataCPD[Total Impressions])),0,1)))))
/
SUM(
IF(DataCPD[Brand Safety 
'[% Failed by Content']]&lt;&gt;"NULL",
IF(DataCPD[Device Type]=ColumnCPD[[#This Row],[Metric]],
SUBTOTAL(9,OFFSET(DataCPD[Total Impressions],ROW(DataCPD[Total Impressions])-MIN(ROW(DataCPD[Total Impressions])),0,1)))))</f>
        <v>0.02</v>
      </c>
      <c r="P10" s="32">
        <f t="array" aca="1" ref="P10" ca="1">SUM(
IF(DataCPD[Brand Safety 
'[% Failed by Geo']]&lt;&gt;"NULL",
IF(DataCPD[Device Type]=ColumnCPD[[#This Row],[Metric]],
DataCPD[Brand Safety 
'[% Failed by Geo']]*
SUBTOTAL(9,OFFSET(DataCPD[Total Impressions],ROW(DataCPD[Total Impressions])-MIN(ROW(DataCPD[Total Impressions])),0,1)))))
/
SUM(
IF(DataCPD[Brand Safety 
'[% Failed by Geo']]&lt;&gt;"NULL",
IF(DataCPD[Device Type]=ColumnCPD[[#This Row],[Metric]],
SUBTOTAL(9,OFFSET(DataCPD[Total Impressions],ROW(DataCPD[Total Impressions])-MIN(ROW(DataCPD[Total Impressions])),0,1)))))</f>
        <v>0.02</v>
      </c>
      <c r="Q10" s="32">
        <f t="array" aca="1" ref="Q10" ca="1">SUM(
IF(DataCPD[Brand Safety 
'[% Failed by Keyword']]&lt;&gt;"NULL",
IF(DataCPD[Device Type]=ColumnCPD[[#This Row],[Metric]],
DataCPD[Brand Safety 
'[% Failed by Keyword']]*
SUBTOTAL(9,OFFSET(DataCPD[Total Impressions],ROW(DataCPD[Total Impressions])-MIN(ROW(DataCPD[Total Impressions])),0,1)))))
/
SUM(
IF(DataCPD[Brand Safety 
'[% Failed by Keyword']]&lt;&gt;"NULL",
IF(DataCPD[Device Type]=ColumnCPD[[#This Row],[Metric]],
SUBTOTAL(9,OFFSET(DataCPD[Total Impressions],ROW(DataCPD[Total Impressions])-MIN(ROW(DataCPD[Total Impressions])),0,1)))))</f>
        <v>0.01</v>
      </c>
      <c r="R10" s="32">
        <f t="array" aca="1" ref="R10" ca="1">SUM(
IF(DataCPD[Brand Safety 
'[% Failed by Blacklist']]&lt;&gt;"NULL",
IF(DataCPD[Device Type]=ColumnCPD[[#This Row],[Metric]],
DataCPD[Brand Safety 
'[% Failed by Blacklist']]*
SUBTOTAL(9,OFFSET(DataCPD[Total Impressions],ROW(DataCPD[Total Impressions])-MIN(ROW(DataCPD[Total Impressions])),0,1)))))
/
SUM(
IF(DataCPD[Brand Safety 
'[% Failed by Blacklist']]&lt;&gt;"NULL",
IF(DataCPD[Device Type]=ColumnCPD[[#This Row],[Metric]],
SUBTOTAL(9,OFFSET(DataCPD[Total Impressions],ROW(DataCPD[Total Impressions])-MIN(ROW(DataCPD[Total Impressions])),0,1)))))</f>
        <v>0.01</v>
      </c>
      <c r="S10" s="32">
        <f t="array" aca="1" ref="S10" ca="1">SUM(
IF(DataCPD[Brand Safety 
'[% Failed by Language']]&lt;&gt;"NULL",
IF(DataCPD[Device Type]=ColumnCPD[[#This Row],[Metric]],
DataCPD[Brand Safety 
'[% Failed by Language']]*
SUBTOTAL(9,OFFSET(DataCPD[Total Impressions],ROW(DataCPD[Total Impressions])-MIN(ROW(DataCPD[Total Impressions])),0,1)))))
/
SUM(
IF(DataCPD[Brand Safety 
'[% Failed by Language']]&lt;&gt;"NULL",
IF(DataCPD[Device Type]=ColumnCPD[[#This Row],[Metric]],
SUBTOTAL(9,OFFSET(DataCPD[Total Impressions],ROW(DataCPD[Total Impressions])-MIN(ROW(DataCPD[Total Impressions])),0,1)))))</f>
        <v>0.01</v>
      </c>
      <c r="T10" s="32">
        <f t="array" aca="1" ref="T10" ca="1">SUM(
IF(DataCPD[Fraud 
'[% Fraud']]&lt;&gt;"NULL",
IF(DataCPD[Device Type]=ColumnCPD[[#This Row],[Metric]],
DataCPD[Fraud 
'[% Fraud']]*
SUBTOTAL(9,OFFSET(DataCPD[Total Impressions],ROW(DataCPD[Total Impressions])-MIN(ROW(DataCPD[Total Impressions])),0,1)))))
/
SUM(
IF(DataCPD[Fraud 
'[% Fraud']]&lt;&gt;"NULL",
IF(DataCPD[Device Type]=ColumnCPD[[#This Row],[Metric]],
SUBTOTAL(9,OFFSET(DataCPD[Total Impressions],ROW(DataCPD[Total Impressions])-MIN(ROW(DataCPD[Total Impressions])),0,1)))))</f>
        <v>0.03</v>
      </c>
      <c r="U10" s="32">
        <f t="array" aca="1" ref="U10" ca="1">SUM(
IF(DataCPD[Viewability 
'[Total Viewable Rate (Total Net Metrics)']]&lt;&gt;"NULL",
IF(DataCPD[Device Type]=ColumnCPD[[#This Row],[Metric]],
DataCPD[Viewability 
'[Total Viewable Rate (Total Net Metrics)']]*
SUBTOTAL(9,OFFSET(DataCPD[Total Impressions],ROW(DataCPD[Total Impressions])-MIN(ROW(DataCPD[Total Impressions])),0,1)))))
/
SUM(
IF(DataCPD[Viewability 
'[Total Viewable Rate (Total Net Metrics)']]&lt;&gt;"NULL",
IF(DataCPD[Device Type]=ColumnCPD[[#This Row],[Metric]],
SUBTOTAL(9,OFFSET(DataCPD[Total Impressions],ROW(DataCPD[Total Impressions])-MIN(ROW(DataCPD[Total Impressions])),0,1)))))</f>
        <v>0.55000000000000004</v>
      </c>
      <c r="V10" s="32">
        <f t="array" aca="1" ref="V10" ca="1">SUM(
IF(DataCPD[Display Viewability 
'[Total Viewable Rate (Total Net Metrics)']]&lt;&gt;"NULL",
IF(DataCPD[Device Type]=ColumnCPD[[#This Row],[Metric]],
DataCPD[Display Viewability 
'[Total Viewable Rate (Total Net Metrics)']]*
SUBTOTAL(9,OFFSET(DataCPD[Total Impressions],ROW(DataCPD[Total Impressions])-MIN(ROW(DataCPD[Total Impressions])),0,1)))))
/
SUM(
IF(DataCPD[Display Viewability 
'[Total Viewable Rate (Total Net Metrics)']]&lt;&gt;"NULL",
IF(DataCPD[Device Type]=ColumnCPD[[#This Row],[Metric]],
SUBTOTAL(9,OFFSET(DataCPD[Total Impressions],ROW(DataCPD[Total Impressions])-MIN(ROW(DataCPD[Total Impressions])),0,1)))))</f>
        <v>0.59999999999999987</v>
      </c>
      <c r="W10" s="32">
        <f t="array" aca="1" ref="W10" ca="1">SUM(
IF(DataCPD[Video Viewability 
'[Total Viewable Rate (Total Net Metrics)']]&lt;&gt;"NULL",
IF(DataCPD[Device Type]=ColumnCPD[[#This Row],[Metric]],
DataCPD[Video Viewability 
'[Total Viewable Rate (Total Net Metrics)']]*
SUBTOTAL(9,OFFSET(DataCPD[Total Impressions],ROW(DataCPD[Total Impressions])-MIN(ROW(DataCPD[Total Impressions])),0,1)))))
/
SUM(
IF(DataCPD[Video Viewability 
'[Total Viewable Rate (Total Net Metrics)']]&lt;&gt;"NULL",
IF(DataCPD[Device Type]=ColumnCPD[[#This Row],[Metric]],
SUBTOTAL(9,OFFSET(DataCPD[Total Impressions],ROW(DataCPD[Total Impressions])-MIN(ROW(DataCPD[Total Impressions])),0,1)))))</f>
        <v>0.5</v>
      </c>
      <c r="X10" s="32">
        <f t="array" aca="1" ref="X10" ca="1">SUM(
IF(DataCPD[GroupM Viewability 
'[% Display Ads Fully in View']]&lt;&gt;"NULL",
IF(DataCPD[Device Type]=ColumnCPD[[#This Row],[Metric]],
DataCPD[GroupM Viewability 
'[% Display Ads Fully in View']]*
SUBTOTAL(9,OFFSET(DataCPD[Total Impressions],ROW(DataCPD[Total Impressions])-MIN(ROW(DataCPD[Total Impressions])),0,1)))))
/
SUM(
IF(DataCPD[GroupM Viewability 
'[% Display Ads Fully in View']]&lt;&gt;"NULL",
IF(DataCPD[Device Type]=ColumnCPD[[#This Row],[Metric]],
SUBTOTAL(9,OFFSET(DataCPD[Total Impressions],ROW(DataCPD[Total Impressions])-MIN(ROW(DataCPD[Total Impressions])),0,1)))))</f>
        <v>0.35</v>
      </c>
      <c r="Y10" s="32">
        <f t="array" aca="1" ref="Y10" ca="1">SUM(
IF(DataCPD[GroupM Viewability 
'[% Videos Fully in View']]&lt;&gt;"NULL",
IF(DataCPD[Device Type]=ColumnCPD[[#This Row],[Metric]],
DataCPD[GroupM Viewability 
'[% Videos Fully in View']]*
SUBTOTAL(9,OFFSET(DataCPD[Total Impressions],ROW(DataCPD[Total Impressions])-MIN(ROW(DataCPD[Total Impressions])),0,1)))))
/
SUM(
IF(DataCPD[GroupM Viewability 
'[% Videos Fully in View']]&lt;&gt;"NULL",
IF(DataCPD[Device Type]=ColumnCPD[[#This Row],[Metric]],
SUBTOTAL(9,OFFSET(DataCPD[Total Impressions],ROW(DataCPD[Total Impressions])-MIN(ROW(DataCPD[Total Impressions])),0,1)))))</f>
        <v>0.25</v>
      </c>
      <c r="Z10" s="32">
        <f t="array" aca="1" ref="Z10" ca="1">SUM(
IF(DataCPD[Publicis Viewability 
'[% Display Ads Fully in View']]&lt;&gt;"NULL",
IF(DataCPD[Device Type]=ColumnCPD[[#This Row],[Metric]],
DataCPD[Publicis Viewability 
'[% Display Ads Fully in View']]*
SUBTOTAL(9,OFFSET(DataCPD[Total Impressions],ROW(DataCPD[Total Impressions])-MIN(ROW(DataCPD[Total Impressions])),0,1)))))
/
SUM(
IF(DataCPD[Publicis Viewability 
'[% Display Ads Fully in View']]&lt;&gt;"NULL",
IF(DataCPD[Device Type]=ColumnCPD[[#This Row],[Metric]],
SUBTOTAL(9,OFFSET(DataCPD[Total Impressions],ROW(DataCPD[Total Impressions])-MIN(ROW(DataCPD[Total Impressions])),0,1)))))</f>
        <v>0.35</v>
      </c>
      <c r="AA10" s="32">
        <f t="array" aca="1" ref="AA10" ca="1">SUM(
IF(DataCPD[Publicis Viewability 
'[% Videos Fully in View']]&lt;&gt;"NULL",
IF(DataCPD[Device Type]=ColumnCPD[[#This Row],[Metric]],
DataCPD[Publicis Viewability 
'[% Videos Fully in View']]*
SUBTOTAL(9,OFFSET(DataCPD[Total Impressions],ROW(DataCPD[Total Impressions])-MIN(ROW(DataCPD[Total Impressions])),0,1)))))
/
SUM(
IF(DataCPD[Publicis Viewability 
'[% Videos Fully in View']]&lt;&gt;"NULL",
IF(DataCPD[Device Type]=ColumnCPD[[#This Row],[Metric]],
SUBTOTAL(9,OFFSET(DataCPD[Total Impressions],ROW(DataCPD[Total Impressions])-MIN(ROW(DataCPD[Total Impressions])),0,1)))))</f>
        <v>0.25</v>
      </c>
      <c r="AB10" s="26"/>
    </row>
    <row r="11" spans="1:121" s="18" customFormat="1" ht="16.5" hidden="1" customHeight="1" x14ac:dyDescent="0.35">
      <c r="A11" s="221"/>
      <c r="B11" s="222"/>
      <c r="C11" s="222"/>
      <c r="D11" s="236"/>
      <c r="E11" s="59"/>
      <c r="F11" s="59"/>
      <c r="G11" s="115"/>
      <c r="H11" s="115"/>
      <c r="I11" s="116"/>
      <c r="J11" s="101" t="s">
        <v>140</v>
      </c>
      <c r="K11" s="31" t="e">
        <f t="array" aca="1" ref="K11" ca="1">SUM(
IF(DataCPD[Measured Rate 
'[% Measured']]&lt;&gt;"NULL",
IF(DataCPD[Brand]=ColumnCPD[[#This Row],[Metric]],
DataCPD[Measured Rate 
'[% Measured']]*
SUBTOTAL(9,OFFSET(DataCPD[Total Impressions],ROW(DataCPD[Total Impressions])-MIN(ROW(DataCPD[Total Impressions])),0,1)))))
/
SUM(
IF(DataCPD[Measured Rate 
'[% Measured']]&lt;&gt;"NULL",
IF(DataCPD[Brand]=ColumnCPD[[#This Row],[Metric]],
SUBTOTAL(9,OFFSET(DataCPD[Total Impressions],ROW(DataCPD[Total Impressions])-MIN(ROW(DataCPD[Total Impressions])),0,1)))))</f>
        <v>#DIV/0!</v>
      </c>
      <c r="L11" s="32" t="e">
        <f t="array" aca="1" ref="L11" ca="1">SUM(
IF(DataCPD[See-Through Rate 
'[% Visible']]&lt;&gt;"NULL",
IF(DataCPD[Brand]=ColumnCPD[[#This Row],[Metric]],
DataCPD[See-Through Rate 
'[% Visible']]*
SUBTOTAL(9,OFFSET(DataCPD[Total Impressions],ROW(DataCPD[Total Impressions])-MIN(ROW(DataCPD[Total Impressions])),0,1)))))
/
SUM(
IF(DataCPD[See-Through Rate 
'[% Visible']]&lt;&gt;"NULL",
IF(DataCPD[Brand]=ColumnCPD[[#This Row],[Metric]],
SUBTOTAL(9,OFFSET(DataCPD[Total Impressions],ROW(DataCPD[Total Impressions])-MIN(ROW(DataCPD[Total Impressions])),0,1)))))</f>
        <v>#DIV/0!</v>
      </c>
      <c r="M11" s="32" t="e">
        <f t="array" aca="1" ref="M11" ca="1">SUM(
IF(DataCPD[Brand Safety 
'[% Passed']]&lt;&gt;"NULL",
IF(DataCPD[Brand]=ColumnCPD[[#This Row],[Metric]],
DataCPD[Brand Safety 
'[% Passed']]*
SUBTOTAL(9,OFFSET(DataCPD[Total Impressions],ROW(DataCPD[Total Impressions])-MIN(ROW(DataCPD[Total Impressions])),0,1)))))
/
SUM(
IF(DataCPD[Brand Safety 
'[% Passed']]&lt;&gt;"NULL",
IF(DataCPD[Brand]=ColumnCPD[[#This Row],[Metric]],
SUBTOTAL(9,OFFSET(DataCPD[Total Impressions],ROW(DataCPD[Total Impressions])-MIN(ROW(DataCPD[Total Impressions])),0,1)))))</f>
        <v>#DIV/0!</v>
      </c>
      <c r="N11" s="32" t="e">
        <f t="array" aca="1" ref="N11" ca="1">SUM(
IF(DataCPD[Brand Safety 
'[% Failed']]&lt;&gt;"NULL",
IF(DataCPD[Brand]=ColumnCPD[[#This Row],[Metric]],
DataCPD[Brand Safety 
'[% Failed']]*
SUBTOTAL(9,OFFSET(DataCPD[Total Impressions],ROW(DataCPD[Total Impressions])-MIN(ROW(DataCPD[Total Impressions])),0,1)))))
/
SUM(
IF(DataCPD[Brand Safety 
'[% Failed']]&lt;&gt;"NULL",
IF(DataCPD[Brand]=ColumnCPD[[#This Row],[Metric]],
SUBTOTAL(9,OFFSET(DataCPD[Total Impressions],ROW(DataCPD[Total Impressions])-MIN(ROW(DataCPD[Total Impressions])),0,1)))))</f>
        <v>#DIV/0!</v>
      </c>
      <c r="O11" s="32" t="e">
        <f t="array" aca="1" ref="O11" ca="1">SUM(
IF(DataCPD[Brand Safety 
'[% Failed by Content']]&lt;&gt;"NULL",
IF(DataCPD[Brand]=ColumnCPD[[#This Row],[Metric]],
DataCPD[Brand Safety 
'[% Failed by Content']]*
SUBTOTAL(9,OFFSET(DataCPD[Total Impressions],ROW(DataCPD[Total Impressions])-MIN(ROW(DataCPD[Total Impressions])),0,1)))))
/
SUM(
IF(DataCPD[Brand Safety 
'[% Failed by Content']]&lt;&gt;"NULL",
IF(DataCPD[Brand]=ColumnCPD[[#This Row],[Metric]],
SUBTOTAL(9,OFFSET(DataCPD[Total Impressions],ROW(DataCPD[Total Impressions])-MIN(ROW(DataCPD[Total Impressions])),0,1)))))</f>
        <v>#DIV/0!</v>
      </c>
      <c r="P11" s="32" t="e">
        <f t="array" aca="1" ref="P11" ca="1">SUM(
IF(DataCPD[Brand Safety 
'[% Failed by Geo']]&lt;&gt;"NULL",
IF(DataCPD[Brand]=ColumnCPD[[#This Row],[Metric]],
DataCPD[Brand Safety 
'[% Failed by Geo']]*
SUBTOTAL(9,OFFSET(DataCPD[Total Impressions],ROW(DataCPD[Total Impressions])-MIN(ROW(DataCPD[Total Impressions])),0,1)))))
/
SUM(
IF(DataCPD[Brand Safety 
'[% Failed by Geo']]&lt;&gt;"NULL",
IF(DataCPD[Brand]=ColumnCPD[[#This Row],[Metric]],
SUBTOTAL(9,OFFSET(DataCPD[Total Impressions],ROW(DataCPD[Total Impressions])-MIN(ROW(DataCPD[Total Impressions])),0,1)))))</f>
        <v>#DIV/0!</v>
      </c>
      <c r="Q11" s="32" t="e">
        <f t="array" aca="1" ref="Q11" ca="1">SUM(
IF(DataCPD[Brand Safety 
'[% Failed by Keyword']]&lt;&gt;"NULL",
IF(DataCPD[Brand]=ColumnCPD[[#This Row],[Metric]],
DataCPD[Brand Safety 
'[% Failed by Keyword']]*
SUBTOTAL(9,OFFSET(DataCPD[Total Impressions],ROW(DataCPD[Total Impressions])-MIN(ROW(DataCPD[Total Impressions])),0,1)))))
/
SUM(
IF(DataCPD[Brand Safety 
'[% Failed by Keyword']]&lt;&gt;"NULL",
IF(DataCPD[Brand]=ColumnCPD[[#This Row],[Metric]],
SUBTOTAL(9,OFFSET(DataCPD[Total Impressions],ROW(DataCPD[Total Impressions])-MIN(ROW(DataCPD[Total Impressions])),0,1)))))</f>
        <v>#DIV/0!</v>
      </c>
      <c r="R11" s="32" t="e">
        <f t="array" aca="1" ref="R11" ca="1">SUM(
IF(DataCPD[Brand Safety 
'[% Failed by Blacklist']]&lt;&gt;"NULL",
IF(DataCPD[Brand]=ColumnCPD[[#This Row],[Metric]],
DataCPD[Brand Safety 
'[% Failed by Blacklist']]*
SUBTOTAL(9,OFFSET(DataCPD[Total Impressions],ROW(DataCPD[Total Impressions])-MIN(ROW(DataCPD[Total Impressions])),0,1)))))
/
SUM(
IF(DataCPD[Brand Safety 
'[% Failed by Blacklist']]&lt;&gt;"NULL",
IF(DataCPD[Brand]=ColumnCPD[[#This Row],[Metric]],
SUBTOTAL(9,OFFSET(DataCPD[Total Impressions],ROW(DataCPD[Total Impressions])-MIN(ROW(DataCPD[Total Impressions])),0,1)))))</f>
        <v>#DIV/0!</v>
      </c>
      <c r="S11" s="32" t="e">
        <f t="array" aca="1" ref="S11" ca="1">SUM(
IF(DataCPD[Brand Safety 
'[% Failed by Language']]&lt;&gt;"NULL",
IF(DataCPD[Brand]=ColumnCPD[[#This Row],[Metric]],
DataCPD[Brand Safety 
'[% Failed by Language']]*
SUBTOTAL(9,OFFSET(DataCPD[Total Impressions],ROW(DataCPD[Total Impressions])-MIN(ROW(DataCPD[Total Impressions])),0,1)))))
/
SUM(
IF(DataCPD[Brand Safety 
'[% Failed by Language']]&lt;&gt;"NULL",
IF(DataCPD[Brand]=ColumnCPD[[#This Row],[Metric]],
SUBTOTAL(9,OFFSET(DataCPD[Total Impressions],ROW(DataCPD[Total Impressions])-MIN(ROW(DataCPD[Total Impressions])),0,1)))))</f>
        <v>#DIV/0!</v>
      </c>
      <c r="T11" s="32" t="e">
        <f t="array" aca="1" ref="T11" ca="1">SUM(
IF(DataCPD[Fraud 
'[% Fraud']]&lt;&gt;"NULL",
IF(DataCPD[Brand]=ColumnCPD[[#This Row],[Metric]],
DataCPD[Fraud 
'[% Fraud']]*
SUBTOTAL(9,OFFSET(DataCPD[Total Impressions],ROW(DataCPD[Total Impressions])-MIN(ROW(DataCPD[Total Impressions])),0,1)))))
/
SUM(
IF(DataCPD[Fraud 
'[% Fraud']]&lt;&gt;"NULL",
IF(DataCPD[Brand]=ColumnCPD[[#This Row],[Metric]],
SUBTOTAL(9,OFFSET(DataCPD[Total Impressions],ROW(DataCPD[Total Impressions])-MIN(ROW(DataCPD[Total Impressions])),0,1)))))</f>
        <v>#DIV/0!</v>
      </c>
      <c r="U11" s="32" t="e">
        <f t="array" aca="1" ref="U11" ca="1">SUM(
IF(DataCPD[Viewability 
'[Total Viewable Rate (Total Net Metrics)']]&lt;&gt;"NULL",
IF(DataCPD[Brand]=ColumnCPD[[#This Row],[Metric]],
DataCPD[Viewability 
'[Total Viewable Rate (Total Net Metrics)']]*
SUBTOTAL(9,OFFSET(DataCPD[Total Impressions],ROW(DataCPD[Total Impressions])-MIN(ROW(DataCPD[Total Impressions])),0,1)))))
/
SUM(
IF(DataCPD[Viewability 
'[Total Viewable Rate (Total Net Metrics)']]&lt;&gt;"NULL",
IF(DataCPD[Brand]=ColumnCPD[[#This Row],[Metric]],
SUBTOTAL(9,OFFSET(DataCPD[Total Impressions],ROW(DataCPD[Total Impressions])-MIN(ROW(DataCPD[Total Impressions])),0,1)))))</f>
        <v>#DIV/0!</v>
      </c>
      <c r="V11" s="32" t="e">
        <f t="array" aca="1" ref="V11" ca="1">SUM(
IF(DataCPD[Display Viewability 
'[Total Viewable Rate (Total Net Metrics)']]&lt;&gt;"NULL",
IF(DataCPD[Brand]=ColumnCPD[[#This Row],[Metric]],
DataCPD[Display Viewability 
'[Total Viewable Rate (Total Net Metrics)']]*
SUBTOTAL(9,OFFSET(DataCPD[Total Impressions],ROW(DataCPD[Total Impressions])-MIN(ROW(DataCPD[Total Impressions])),0,1)))))
/
SUM(
IF(DataCPD[Display Viewability 
'[Total Viewable Rate (Total Net Metrics)']]&lt;&gt;"NULL",
IF(DataCPD[Brand]=ColumnCPD[[#This Row],[Metric]],
SUBTOTAL(9,OFFSET(DataCPD[Total Impressions],ROW(DataCPD[Total Impressions])-MIN(ROW(DataCPD[Total Impressions])),0,1)))))</f>
        <v>#DIV/0!</v>
      </c>
      <c r="W11" s="32" t="e">
        <f t="array" aca="1" ref="W11" ca="1">SUM(
IF(DataCPD[Video Viewability 
'[Total Viewable Rate (Total Net Metrics)']]&lt;&gt;"NULL",
IF(DataCPD[Brand]=ColumnCPD[[#This Row],[Metric]],
DataCPD[Video Viewability 
'[Total Viewable Rate (Total Net Metrics)']]*
SUBTOTAL(9,OFFSET(DataCPD[Total Impressions],ROW(DataCPD[Total Impressions])-MIN(ROW(DataCPD[Total Impressions])),0,1)))))
/
SUM(
IF(DataCPD[Video Viewability 
'[Total Viewable Rate (Total Net Metrics)']]&lt;&gt;"NULL",
IF(DataCPD[Brand]=ColumnCPD[[#This Row],[Metric]],
SUBTOTAL(9,OFFSET(DataCPD[Total Impressions],ROW(DataCPD[Total Impressions])-MIN(ROW(DataCPD[Total Impressions])),0,1)))))</f>
        <v>#DIV/0!</v>
      </c>
      <c r="X11" s="32" t="e">
        <f t="array" aca="1" ref="X11" ca="1">SUM(
IF(DataCPD[GroupM Viewability 
'[% Display Ads Fully in View']]&lt;&gt;"NULL",
IF(DataCPD[Brand]=ColumnCPD[[#This Row],[Metric]],
DataCPD[GroupM Viewability 
'[% Display Ads Fully in View']]*
SUBTOTAL(9,OFFSET(DataCPD[Total Impressions],ROW(DataCPD[Total Impressions])-MIN(ROW(DataCPD[Total Impressions])),0,1)))))
/
SUM(
IF(DataCPD[GroupM Viewability 
'[% Display Ads Fully in View']]&lt;&gt;"NULL",
IF(DataCPD[Brand]=ColumnCPD[[#This Row],[Metric]],
SUBTOTAL(9,OFFSET(DataCPD[Total Impressions],ROW(DataCPD[Total Impressions])-MIN(ROW(DataCPD[Total Impressions])),0,1)))))</f>
        <v>#DIV/0!</v>
      </c>
      <c r="Y11" s="32" t="e">
        <f t="array" aca="1" ref="Y11" ca="1">SUM(
IF(DataCPD[GroupM Viewability 
'[% Videos Fully in View']]&lt;&gt;"NULL",
IF(DataCPD[Brand]=ColumnCPD[[#This Row],[Metric]],
DataCPD[GroupM Viewability 
'[% Videos Fully in View']]*
SUBTOTAL(9,OFFSET(DataCPD[Total Impressions],ROW(DataCPD[Total Impressions])-MIN(ROW(DataCPD[Total Impressions])),0,1)))))
/
SUM(
IF(DataCPD[GroupM Viewability 
'[% Videos Fully in View']]&lt;&gt;"NULL",
IF(DataCPD[Brand]=ColumnCPD[[#This Row],[Metric]],
SUBTOTAL(9,OFFSET(DataCPD[Total Impressions],ROW(DataCPD[Total Impressions])-MIN(ROW(DataCPD[Total Impressions])),0,1)))))</f>
        <v>#DIV/0!</v>
      </c>
      <c r="Z11" s="32" t="e">
        <f t="array" aca="1" ref="Z11" ca="1">SUM(
IF(DataCPD[Publicis Viewability 
'[% Display Ads Fully in View']]&lt;&gt;"NULL",
IF(DataCPD[Brand]=ColumnCPD[[#This Row],[Metric]],
DataCPD[Publicis Viewability 
'[% Display Ads Fully in View']]*
SUBTOTAL(9,OFFSET(DataCPD[Total Impressions],ROW(DataCPD[Total Impressions])-MIN(ROW(DataCPD[Total Impressions])),0,1)))))
/
SUM(
IF(DataCPD[Publicis Viewability 
'[% Display Ads Fully in View']]&lt;&gt;"NULL",
IF(DataCPD[Brand]=ColumnCPD[[#This Row],[Metric]],
SUBTOTAL(9,OFFSET(DataCPD[Total Impressions],ROW(DataCPD[Total Impressions])-MIN(ROW(DataCPD[Total Impressions])),0,1)))))</f>
        <v>#DIV/0!</v>
      </c>
      <c r="AA11" s="32" t="e">
        <f t="array" aca="1" ref="AA11" ca="1">SUM(
IF(DataCPD[Publicis Viewability 
'[% Videos Fully in View']]&lt;&gt;"NULL",
IF(DataCPD[Brand]=ColumnCPD[[#This Row],[Metric]],
DataCPD[Publicis Viewability 
'[% Videos Fully in View']]*
SUBTOTAL(9,OFFSET(DataCPD[Total Impressions],ROW(DataCPD[Total Impressions])-MIN(ROW(DataCPD[Total Impressions])),0,1)))))
/
SUM(
IF(DataCPD[Publicis Viewability 
'[% Videos Fully in View']]&lt;&gt;"NULL",
IF(DataCPD[Brand]=ColumnCPD[[#This Row],[Metric]],
SUBTOTAL(9,OFFSET(DataCPD[Total Impressions],ROW(DataCPD[Total Impressions])-MIN(ROW(DataCPD[Total Impressions])),0,1)))))</f>
        <v>#DIV/0!</v>
      </c>
      <c r="AB11" s="26"/>
    </row>
    <row r="12" spans="1:121" s="18" customFormat="1" ht="16.5" hidden="1" customHeight="1" x14ac:dyDescent="0.35">
      <c r="A12" s="233"/>
      <c r="B12" s="234"/>
      <c r="C12" s="234"/>
      <c r="D12" s="234"/>
      <c r="E12" s="60"/>
      <c r="F12" s="60"/>
      <c r="G12" s="227" t="s">
        <v>8</v>
      </c>
      <c r="H12" s="227"/>
      <c r="I12" s="256"/>
      <c r="J12" s="105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  <c r="AB12" s="26"/>
    </row>
    <row r="13" spans="1:121" s="18" customFormat="1" ht="15.75" hidden="1" customHeight="1" x14ac:dyDescent="0.35">
      <c r="B13" s="33"/>
      <c r="C13" s="33"/>
      <c r="D13" s="33"/>
      <c r="E13" s="63"/>
      <c r="F13" s="57"/>
      <c r="G13" s="227" t="s">
        <v>8</v>
      </c>
      <c r="H13" s="227"/>
      <c r="I13" s="256"/>
      <c r="J13" s="106" t="s">
        <v>6</v>
      </c>
      <c r="K13" s="107">
        <v>0</v>
      </c>
      <c r="L13" s="107">
        <v>0</v>
      </c>
      <c r="M13" s="107">
        <v>0</v>
      </c>
      <c r="N13" s="107">
        <v>0</v>
      </c>
      <c r="O13" s="107">
        <v>0</v>
      </c>
      <c r="P13" s="107">
        <v>0</v>
      </c>
      <c r="Q13" s="107">
        <v>0</v>
      </c>
      <c r="R13" s="107">
        <v>0</v>
      </c>
      <c r="S13" s="107">
        <v>0</v>
      </c>
      <c r="T13" s="107">
        <v>0</v>
      </c>
      <c r="U13" s="107">
        <v>0</v>
      </c>
      <c r="V13" s="107">
        <v>0</v>
      </c>
      <c r="W13" s="107">
        <v>0</v>
      </c>
      <c r="X13" s="107">
        <v>0</v>
      </c>
      <c r="Y13" s="107">
        <v>0</v>
      </c>
      <c r="Z13" s="107">
        <v>1</v>
      </c>
      <c r="AA13" s="107">
        <v>0</v>
      </c>
      <c r="AB13" s="26"/>
    </row>
    <row r="14" spans="1:121" s="18" customFormat="1" ht="15.75" customHeight="1" thickBot="1" x14ac:dyDescent="0.4">
      <c r="B14" s="35"/>
      <c r="C14" s="22"/>
      <c r="D14" s="22"/>
      <c r="E14" s="55"/>
      <c r="F14" s="55"/>
      <c r="G14" s="55"/>
      <c r="H14" s="13" t="s">
        <v>21</v>
      </c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31</v>
      </c>
      <c r="C15" s="40" t="s">
        <v>20</v>
      </c>
      <c r="D15" s="83" t="s">
        <v>9</v>
      </c>
      <c r="E15" s="84" t="s">
        <v>141</v>
      </c>
      <c r="F15" s="84" t="s">
        <v>22</v>
      </c>
      <c r="G15" s="84" t="s">
        <v>38</v>
      </c>
      <c r="H15" s="25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thickBot="1" x14ac:dyDescent="0.3">
      <c r="B16" s="43" t="str">
        <f>IFERROR(
IF(DataCPD[[#Headers],[Brand]]="Brand",VLOOKUP(DataCPD[[#This Row],[Campaign]],Map_Campaign[],2,0),
IF(DataCPD[[#Headers],[Brand]]="Region (Team)",VLOOKUP(DataCPD[[#This Row],[Team]],Map_Team[],2,0),
IF(DataCPD[[#Headers],[Brand]]="Region (Campaign)",VLOOKUP(DataCPD[[#This Row],[Campaign]],Map_Campaign[],3,0),
IF(DataCPD[[#Headers],[Brand]]="Partner Type",VLOOKUP(DataCPD[[#This Row],[Partner]],Map_Partner[],2,0),
IF(DataCPD[[#Headers],[Brand]]="Device Type",VLOOKUP(DataCPD[[#This Row],[Placement]],Map_Placement[],3,0),
IF(DataCPD[[#Headers],[Brand]]="Creative Size",VLOOKUP(DataCPD[[#This Row],[Placement]],Map_Placement[],2,0),"Not a mapping option.")))))),
"[Unmapped]")</f>
        <v>[Unmapped]</v>
      </c>
      <c r="C16" s="45" t="s">
        <v>10</v>
      </c>
      <c r="D16" s="90" t="s">
        <v>153</v>
      </c>
      <c r="E16" s="85" t="s">
        <v>142</v>
      </c>
      <c r="F16" s="85" t="s">
        <v>10</v>
      </c>
      <c r="G16" s="85" t="s">
        <v>126</v>
      </c>
      <c r="H16" s="85" t="s">
        <v>124</v>
      </c>
      <c r="I16" s="86">
        <v>292953764</v>
      </c>
      <c r="J16" s="87">
        <v>450881961</v>
      </c>
      <c r="K16" s="88">
        <v>0.7</v>
      </c>
      <c r="L16" s="88">
        <v>0.98</v>
      </c>
      <c r="M16" s="88">
        <v>0.95</v>
      </c>
      <c r="N16" s="88">
        <v>0.05</v>
      </c>
      <c r="O16" s="88">
        <v>0.02</v>
      </c>
      <c r="P16" s="88">
        <v>0.02</v>
      </c>
      <c r="Q16" s="88">
        <v>0.01</v>
      </c>
      <c r="R16" s="88">
        <v>0.01</v>
      </c>
      <c r="S16" s="88">
        <v>0.01</v>
      </c>
      <c r="T16" s="88">
        <v>0.03</v>
      </c>
      <c r="U16" s="88">
        <v>0.55000000000000004</v>
      </c>
      <c r="V16" s="88">
        <v>0.6</v>
      </c>
      <c r="W16" s="88">
        <v>0.5</v>
      </c>
      <c r="X16" s="88">
        <v>0.35</v>
      </c>
      <c r="Y16" s="88">
        <v>0.25</v>
      </c>
      <c r="Z16" s="88">
        <v>0.35</v>
      </c>
      <c r="AA16" s="88">
        <v>0.25</v>
      </c>
    </row>
    <row r="21" spans="6:7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10">
    <mergeCell ref="G13:I13"/>
    <mergeCell ref="G12:I12"/>
    <mergeCell ref="G8:I8"/>
    <mergeCell ref="G7:I7"/>
    <mergeCell ref="G6:I6"/>
    <mergeCell ref="A12:D12"/>
    <mergeCell ref="A11:D11"/>
    <mergeCell ref="B9:F9"/>
    <mergeCell ref="D6:E6"/>
    <mergeCell ref="D8:E8"/>
  </mergeCells>
  <conditionalFormatting sqref="K16:AA16">
    <cfRule type="cellIs" dxfId="72" priority="8" operator="equal">
      <formula>""</formula>
    </cfRule>
  </conditionalFormatting>
  <conditionalFormatting sqref="A6:D6 A1:XFD5 A8:D8 F6:XFD6 A7:J7 F8:XFD8 A9:XFD1048576 AB7:XFD7">
    <cfRule type="expression" dxfId="71" priority="7">
      <formula>ISERROR(A1)</formula>
    </cfRule>
  </conditionalFormatting>
  <conditionalFormatting sqref="K16:AA16 K9:AA11">
    <cfRule type="expression" dxfId="70" priority="10">
      <formula>IF(K$7="N/A",0,IF(K$7="Above",K9&lt;=(1-$J$4)*K$8,K9&gt;=(1+$J$4)*K$8))</formula>
    </cfRule>
    <cfRule type="expression" dxfId="69" priority="11">
      <formula>IF(OR(K$7="N/A",K9=0),0,IF(K$7="Above",K9&gt;=(1+$J$3)*K$8,K9&lt;=(1-$J$3)*K$8))</formula>
    </cfRule>
  </conditionalFormatting>
  <conditionalFormatting sqref="K7:AA7">
    <cfRule type="expression" dxfId="68" priority="1">
      <formula>ISERROR(K7)</formula>
    </cfRule>
  </conditionalFormatting>
  <dataValidations disablePrompts="1" count="8">
    <dataValidation allowBlank="1" showInputMessage="1" showErrorMessage="1" errorTitle="Invalid Entry" error="Please select/enter a value from 1 to 5 from the dropdown." sqref="J9 K10:AA11 AB12:XFD13 J11 G9 A13:D13" xr:uid="{00000000-0002-0000-0800-000000000000}"/>
    <dataValidation type="list" allowBlank="1" showInputMessage="1" showErrorMessage="1" errorTitle="Invalid Entry" error="Please select/enter a value from 1 to 5 from the dropdown." sqref="J10" xr:uid="{00000000-0002-0000-08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800-000002000000}">
      <formula1>"0,1,2,3,4,5"</formula1>
    </dataValidation>
    <dataValidation type="list" allowBlank="1" showInputMessage="1" showErrorMessage="1" sqref="B15" xr:uid="{00000000-0002-0000-0800-000003000000}">
      <formula1>"Brand, Region (Team), Region (Campaign), Partner Type"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800-000005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800-000006000000}"/>
    <dataValidation allowBlank="1" showInputMessage="1" showErrorMessage="1" prompt="Cell will highlight red if performance deviates by more than this percentage of the client goal." sqref="J4" xr:uid="{00000000-0002-0000-0800-000007000000}"/>
    <dataValidation type="list" allowBlank="1" showInputMessage="1" showErrorMessage="1" sqref="X27" xr:uid="{00000000-0002-0000-0800-000004000000}">
      <formula1>#REF!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F41F8383-FF75-431C-8426-1ED11B5653E3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"/>
  <dimension ref="B1:C21"/>
  <sheetViews>
    <sheetView zoomScale="80" zoomScaleNormal="80" zoomScalePageLayoutView="80" workbookViewId="0"/>
  </sheetViews>
  <sheetFormatPr defaultColWidth="9.1796875" defaultRowHeight="27" customHeight="1" x14ac:dyDescent="0.3"/>
  <cols>
    <col min="1" max="1" width="4.7265625" style="6" customWidth="1"/>
    <col min="2" max="2" width="40.7265625" style="6" customWidth="1"/>
    <col min="3" max="6" width="35.7265625" style="6" customWidth="1"/>
    <col min="7" max="16384" width="9.1796875" style="6"/>
  </cols>
  <sheetData>
    <row r="1" spans="2:3" ht="14.5" thickBot="1" x14ac:dyDescent="0.35"/>
    <row r="2" spans="2:3" ht="81" customHeight="1" thickBot="1" x14ac:dyDescent="0.35">
      <c r="B2" s="259" t="s">
        <v>15</v>
      </c>
      <c r="C2" s="260"/>
    </row>
    <row r="3" spans="2:3" ht="14" x14ac:dyDescent="0.3"/>
    <row r="4" spans="2:3" ht="45" customHeight="1" x14ac:dyDescent="0.3">
      <c r="B4" s="9" t="s">
        <v>1</v>
      </c>
      <c r="C4" s="9" t="s">
        <v>16</v>
      </c>
    </row>
    <row r="5" spans="2:3" ht="27" customHeight="1" x14ac:dyDescent="0.3">
      <c r="B5" s="7" t="s">
        <v>4</v>
      </c>
      <c r="C5" s="8">
        <v>0.7</v>
      </c>
    </row>
    <row r="6" spans="2:3" ht="27" customHeight="1" x14ac:dyDescent="0.3">
      <c r="B6" s="7" t="s">
        <v>162</v>
      </c>
      <c r="C6" s="8">
        <v>0.98</v>
      </c>
    </row>
    <row r="7" spans="2:3" ht="27" customHeight="1" x14ac:dyDescent="0.3">
      <c r="B7" s="7" t="s">
        <v>23</v>
      </c>
      <c r="C7" s="8">
        <v>0.95</v>
      </c>
    </row>
    <row r="8" spans="2:3" ht="27" customHeight="1" x14ac:dyDescent="0.3">
      <c r="B8" s="7" t="s">
        <v>5</v>
      </c>
      <c r="C8" s="8">
        <v>0.05</v>
      </c>
    </row>
    <row r="9" spans="2:3" ht="27" customHeight="1" x14ac:dyDescent="0.3">
      <c r="B9" s="7" t="s">
        <v>24</v>
      </c>
      <c r="C9" s="8">
        <v>0.02</v>
      </c>
    </row>
    <row r="10" spans="2:3" ht="27" customHeight="1" x14ac:dyDescent="0.3">
      <c r="B10" s="7" t="s">
        <v>25</v>
      </c>
      <c r="C10" s="8">
        <v>0.02</v>
      </c>
    </row>
    <row r="11" spans="2:3" ht="27" customHeight="1" x14ac:dyDescent="0.3">
      <c r="B11" s="7" t="s">
        <v>26</v>
      </c>
      <c r="C11" s="8">
        <v>0.01</v>
      </c>
    </row>
    <row r="12" spans="2:3" ht="27" customHeight="1" x14ac:dyDescent="0.3">
      <c r="B12" s="7" t="s">
        <v>27</v>
      </c>
      <c r="C12" s="8">
        <v>0.01</v>
      </c>
    </row>
    <row r="13" spans="2:3" ht="27" customHeight="1" x14ac:dyDescent="0.3">
      <c r="B13" s="7" t="s">
        <v>156</v>
      </c>
      <c r="C13" s="8">
        <v>0.01</v>
      </c>
    </row>
    <row r="14" spans="2:3" ht="27" customHeight="1" x14ac:dyDescent="0.3">
      <c r="B14" s="7" t="s">
        <v>28</v>
      </c>
      <c r="C14" s="8">
        <v>0.03</v>
      </c>
    </row>
    <row r="15" spans="2:3" ht="27" customHeight="1" x14ac:dyDescent="0.3">
      <c r="B15" s="7" t="s">
        <v>157</v>
      </c>
      <c r="C15" s="8">
        <v>0.55000000000000004</v>
      </c>
    </row>
    <row r="16" spans="2:3" ht="27" customHeight="1" x14ac:dyDescent="0.3">
      <c r="B16" s="7" t="s">
        <v>158</v>
      </c>
      <c r="C16" s="8">
        <v>0.6</v>
      </c>
    </row>
    <row r="17" spans="2:3" ht="27" customHeight="1" x14ac:dyDescent="0.3">
      <c r="B17" s="7" t="s">
        <v>159</v>
      </c>
      <c r="C17" s="8">
        <v>0.5</v>
      </c>
    </row>
    <row r="18" spans="2:3" ht="27" customHeight="1" x14ac:dyDescent="0.3">
      <c r="B18" s="7" t="s">
        <v>160</v>
      </c>
      <c r="C18" s="8">
        <v>0.35</v>
      </c>
    </row>
    <row r="19" spans="2:3" ht="27" customHeight="1" x14ac:dyDescent="0.3">
      <c r="B19" s="7" t="s">
        <v>161</v>
      </c>
      <c r="C19" s="8">
        <v>0.25</v>
      </c>
    </row>
    <row r="20" spans="2:3" ht="27" customHeight="1" x14ac:dyDescent="0.3">
      <c r="B20" s="7" t="s">
        <v>163</v>
      </c>
      <c r="C20" s="8">
        <v>0.35</v>
      </c>
    </row>
    <row r="21" spans="2:3" ht="27" customHeight="1" x14ac:dyDescent="0.3">
      <c r="B21" s="7" t="s">
        <v>164</v>
      </c>
      <c r="C21" s="8">
        <v>0.25</v>
      </c>
    </row>
  </sheetData>
  <mergeCells count="1">
    <mergeCell ref="B2:C2"/>
  </mergeCells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V81"/>
  <sheetViews>
    <sheetView showGridLines="0" zoomScale="78" zoomScaleNormal="78" workbookViewId="0"/>
  </sheetViews>
  <sheetFormatPr defaultColWidth="0" defaultRowHeight="14.5" x14ac:dyDescent="0.35"/>
  <cols>
    <col min="1" max="1" width="2.1796875" style="1" customWidth="1"/>
    <col min="2" max="2" width="34.81640625" style="1" customWidth="1"/>
    <col min="3" max="3" width="11.54296875" style="1" customWidth="1"/>
    <col min="4" max="4" width="3" style="1" customWidth="1"/>
    <col min="5" max="5" width="34.81640625" style="1" customWidth="1"/>
    <col min="6" max="7" width="11.54296875" style="1" customWidth="1"/>
    <col min="8" max="8" width="3" style="1" customWidth="1"/>
    <col min="9" max="9" width="37.1796875" style="1" customWidth="1"/>
    <col min="10" max="10" width="28" style="1" customWidth="1"/>
    <col min="11" max="11" width="3" style="1" customWidth="1"/>
    <col min="12" max="12" width="52.1796875" style="1" customWidth="1"/>
    <col min="13" max="13" width="14.453125" style="1" customWidth="1"/>
    <col min="14" max="14" width="24.26953125" style="1" customWidth="1"/>
    <col min="15" max="15" width="2.1796875" style="1" customWidth="1"/>
    <col min="16" max="16" width="22.453125" style="1" hidden="1" customWidth="1"/>
    <col min="17" max="17" width="11" style="1" hidden="1" customWidth="1"/>
    <col min="18" max="18" width="19.453125" style="1" hidden="1" customWidth="1"/>
    <col min="19" max="19" width="10.453125" style="1" hidden="1" customWidth="1"/>
    <col min="20" max="20" width="11" style="1" hidden="1" customWidth="1"/>
    <col min="21" max="21" width="19.453125" style="1" hidden="1" customWidth="1"/>
    <col min="22" max="22" width="10.453125" style="1" hidden="1" customWidth="1"/>
    <col min="23" max="16384" width="9.1796875" style="1" hidden="1"/>
  </cols>
  <sheetData>
    <row r="2" spans="2:16" s="3" customFormat="1" x14ac:dyDescent="0.35">
      <c r="B2" s="3" t="s">
        <v>148</v>
      </c>
      <c r="E2" s="3" t="s">
        <v>147</v>
      </c>
      <c r="I2" s="3" t="s">
        <v>125</v>
      </c>
      <c r="L2" s="3" t="s">
        <v>49</v>
      </c>
      <c r="P2" s="3" t="s">
        <v>131</v>
      </c>
    </row>
    <row r="4" spans="2:16" s="4" customFormat="1" x14ac:dyDescent="0.35">
      <c r="B4" s="2" t="s">
        <v>20</v>
      </c>
      <c r="C4" s="2" t="s">
        <v>29</v>
      </c>
      <c r="E4" s="2" t="s">
        <v>9</v>
      </c>
      <c r="F4" s="2" t="s">
        <v>31</v>
      </c>
      <c r="G4" s="2" t="s">
        <v>29</v>
      </c>
      <c r="I4" s="2" t="s">
        <v>141</v>
      </c>
      <c r="J4" s="2" t="s">
        <v>146</v>
      </c>
      <c r="K4" s="2"/>
      <c r="L4" s="2" t="s">
        <v>22</v>
      </c>
      <c r="M4" s="2" t="s">
        <v>37</v>
      </c>
      <c r="N4" s="2" t="s">
        <v>38</v>
      </c>
      <c r="P4" s="5" t="s">
        <v>126</v>
      </c>
    </row>
    <row r="5" spans="2:16" x14ac:dyDescent="0.35">
      <c r="B5" s="1" t="s">
        <v>35</v>
      </c>
      <c r="C5" s="1" t="s">
        <v>30</v>
      </c>
      <c r="E5" s="1" t="s">
        <v>48</v>
      </c>
      <c r="F5" s="1" t="s">
        <v>32</v>
      </c>
      <c r="G5" s="1" t="s">
        <v>30</v>
      </c>
      <c r="I5" s="1" t="s">
        <v>142</v>
      </c>
      <c r="J5" s="1" t="s">
        <v>149</v>
      </c>
      <c r="L5" s="1" t="s">
        <v>50</v>
      </c>
      <c r="M5" s="1" t="s">
        <v>36</v>
      </c>
      <c r="N5" s="1" t="s">
        <v>45</v>
      </c>
      <c r="P5" s="1" t="s">
        <v>134</v>
      </c>
    </row>
    <row r="6" spans="2:16" x14ac:dyDescent="0.35">
      <c r="B6" s="1" t="s">
        <v>40</v>
      </c>
      <c r="C6" s="1" t="s">
        <v>42</v>
      </c>
      <c r="E6" s="1" t="s">
        <v>17</v>
      </c>
      <c r="F6" s="1" t="s">
        <v>33</v>
      </c>
      <c r="G6" s="1" t="s">
        <v>42</v>
      </c>
      <c r="I6" s="1" t="s">
        <v>143</v>
      </c>
      <c r="J6" s="1" t="s">
        <v>150</v>
      </c>
      <c r="L6" s="1" t="s">
        <v>51</v>
      </c>
      <c r="M6" s="1" t="s">
        <v>39</v>
      </c>
      <c r="N6" s="1" t="s">
        <v>46</v>
      </c>
      <c r="P6" s="1" t="s">
        <v>127</v>
      </c>
    </row>
    <row r="7" spans="2:16" x14ac:dyDescent="0.35">
      <c r="B7" s="1" t="s">
        <v>41</v>
      </c>
      <c r="C7" s="1" t="s">
        <v>43</v>
      </c>
      <c r="E7" s="1" t="s">
        <v>18</v>
      </c>
      <c r="F7" s="1" t="s">
        <v>34</v>
      </c>
      <c r="G7" s="1" t="s">
        <v>43</v>
      </c>
      <c r="I7" s="1" t="s">
        <v>144</v>
      </c>
      <c r="J7" s="1" t="s">
        <v>150</v>
      </c>
      <c r="L7" s="1" t="s">
        <v>52</v>
      </c>
      <c r="M7" s="1" t="s">
        <v>44</v>
      </c>
      <c r="N7" s="1" t="s">
        <v>47</v>
      </c>
      <c r="P7" s="1" t="s">
        <v>135</v>
      </c>
    </row>
    <row r="8" spans="2:16" x14ac:dyDescent="0.35">
      <c r="L8" s="1" t="s">
        <v>50</v>
      </c>
      <c r="M8" s="1" t="s">
        <v>36</v>
      </c>
      <c r="N8" s="1" t="s">
        <v>45</v>
      </c>
      <c r="P8" s="1" t="s">
        <v>136</v>
      </c>
    </row>
    <row r="9" spans="2:16" x14ac:dyDescent="0.35">
      <c r="L9" s="1" t="s">
        <v>51</v>
      </c>
      <c r="M9" s="1" t="s">
        <v>39</v>
      </c>
      <c r="N9" s="1" t="s">
        <v>46</v>
      </c>
      <c r="P9" s="1" t="s">
        <v>137</v>
      </c>
    </row>
    <row r="10" spans="2:16" x14ac:dyDescent="0.35">
      <c r="L10" s="1" t="s">
        <v>52</v>
      </c>
      <c r="M10" s="1" t="s">
        <v>44</v>
      </c>
      <c r="N10" s="1" t="s">
        <v>47</v>
      </c>
      <c r="P10" s="1" t="s">
        <v>128</v>
      </c>
    </row>
    <row r="11" spans="2:16" x14ac:dyDescent="0.35">
      <c r="L11" s="1" t="s">
        <v>53</v>
      </c>
      <c r="M11" s="1" t="s">
        <v>36</v>
      </c>
      <c r="N11" s="1" t="s">
        <v>45</v>
      </c>
      <c r="P11" s="1" t="s">
        <v>138</v>
      </c>
    </row>
    <row r="12" spans="2:16" x14ac:dyDescent="0.35">
      <c r="L12" s="1" t="s">
        <v>54</v>
      </c>
      <c r="M12" s="1" t="s">
        <v>39</v>
      </c>
      <c r="N12" s="1" t="s">
        <v>46</v>
      </c>
      <c r="P12" s="1" t="s">
        <v>129</v>
      </c>
    </row>
    <row r="13" spans="2:16" x14ac:dyDescent="0.35">
      <c r="L13" s="1" t="s">
        <v>55</v>
      </c>
      <c r="M13" s="1" t="s">
        <v>44</v>
      </c>
      <c r="N13" s="1" t="s">
        <v>47</v>
      </c>
      <c r="P13" s="1" t="s">
        <v>139</v>
      </c>
    </row>
    <row r="14" spans="2:16" x14ac:dyDescent="0.35">
      <c r="L14" s="1" t="s">
        <v>56</v>
      </c>
      <c r="M14" s="1" t="s">
        <v>36</v>
      </c>
      <c r="N14" s="1" t="s">
        <v>45</v>
      </c>
    </row>
    <row r="15" spans="2:16" x14ac:dyDescent="0.35">
      <c r="L15" s="1" t="s">
        <v>57</v>
      </c>
      <c r="M15" s="1" t="s">
        <v>39</v>
      </c>
      <c r="N15" s="1" t="s">
        <v>46</v>
      </c>
    </row>
    <row r="16" spans="2:16" x14ac:dyDescent="0.35">
      <c r="L16" s="1" t="s">
        <v>58</v>
      </c>
      <c r="M16" s="1" t="s">
        <v>44</v>
      </c>
      <c r="N16" s="1" t="s">
        <v>47</v>
      </c>
    </row>
    <row r="17" spans="12:14" x14ac:dyDescent="0.35">
      <c r="L17" s="1" t="s">
        <v>59</v>
      </c>
      <c r="M17" s="1" t="s">
        <v>36</v>
      </c>
      <c r="N17" s="1" t="s">
        <v>45</v>
      </c>
    </row>
    <row r="18" spans="12:14" x14ac:dyDescent="0.35">
      <c r="L18" s="1" t="s">
        <v>60</v>
      </c>
      <c r="M18" s="1" t="s">
        <v>39</v>
      </c>
      <c r="N18" s="1" t="s">
        <v>46</v>
      </c>
    </row>
    <row r="19" spans="12:14" x14ac:dyDescent="0.35">
      <c r="L19" s="1" t="s">
        <v>61</v>
      </c>
      <c r="M19" s="1" t="s">
        <v>44</v>
      </c>
      <c r="N19" s="1" t="s">
        <v>47</v>
      </c>
    </row>
    <row r="20" spans="12:14" x14ac:dyDescent="0.35">
      <c r="L20" s="1" t="s">
        <v>62</v>
      </c>
      <c r="M20" s="1" t="s">
        <v>36</v>
      </c>
      <c r="N20" s="1" t="s">
        <v>45</v>
      </c>
    </row>
    <row r="21" spans="12:14" x14ac:dyDescent="0.35">
      <c r="L21" s="1" t="s">
        <v>63</v>
      </c>
      <c r="M21" s="1" t="s">
        <v>39</v>
      </c>
      <c r="N21" s="1" t="s">
        <v>46</v>
      </c>
    </row>
    <row r="22" spans="12:14" x14ac:dyDescent="0.35">
      <c r="L22" s="1" t="s">
        <v>64</v>
      </c>
      <c r="M22" s="1" t="s">
        <v>44</v>
      </c>
      <c r="N22" s="1" t="s">
        <v>47</v>
      </c>
    </row>
    <row r="23" spans="12:14" x14ac:dyDescent="0.35">
      <c r="L23" s="1" t="s">
        <v>65</v>
      </c>
      <c r="M23" s="1" t="s">
        <v>36</v>
      </c>
      <c r="N23" s="1" t="s">
        <v>45</v>
      </c>
    </row>
    <row r="24" spans="12:14" x14ac:dyDescent="0.35">
      <c r="L24" s="1" t="s">
        <v>66</v>
      </c>
      <c r="M24" s="1" t="s">
        <v>39</v>
      </c>
      <c r="N24" s="1" t="s">
        <v>46</v>
      </c>
    </row>
    <row r="25" spans="12:14" x14ac:dyDescent="0.35">
      <c r="L25" s="1" t="s">
        <v>67</v>
      </c>
      <c r="M25" s="1" t="s">
        <v>44</v>
      </c>
      <c r="N25" s="1" t="s">
        <v>47</v>
      </c>
    </row>
    <row r="26" spans="12:14" x14ac:dyDescent="0.35">
      <c r="L26" s="1" t="s">
        <v>68</v>
      </c>
      <c r="M26" s="1" t="s">
        <v>36</v>
      </c>
      <c r="N26" s="1" t="s">
        <v>45</v>
      </c>
    </row>
    <row r="27" spans="12:14" x14ac:dyDescent="0.35">
      <c r="L27" s="1" t="s">
        <v>69</v>
      </c>
      <c r="M27" s="1" t="s">
        <v>39</v>
      </c>
      <c r="N27" s="1" t="s">
        <v>46</v>
      </c>
    </row>
    <row r="28" spans="12:14" x14ac:dyDescent="0.35">
      <c r="L28" s="1" t="s">
        <v>70</v>
      </c>
      <c r="M28" s="1" t="s">
        <v>44</v>
      </c>
      <c r="N28" s="1" t="s">
        <v>47</v>
      </c>
    </row>
    <row r="29" spans="12:14" x14ac:dyDescent="0.35">
      <c r="L29" s="1" t="s">
        <v>71</v>
      </c>
      <c r="M29" s="1" t="s">
        <v>36</v>
      </c>
      <c r="N29" s="1" t="s">
        <v>45</v>
      </c>
    </row>
    <row r="30" spans="12:14" x14ac:dyDescent="0.35">
      <c r="L30" s="1" t="s">
        <v>72</v>
      </c>
      <c r="M30" s="1" t="s">
        <v>39</v>
      </c>
      <c r="N30" s="1" t="s">
        <v>46</v>
      </c>
    </row>
    <row r="31" spans="12:14" x14ac:dyDescent="0.35">
      <c r="L31" s="1" t="s">
        <v>73</v>
      </c>
      <c r="M31" s="1" t="s">
        <v>44</v>
      </c>
      <c r="N31" s="1" t="s">
        <v>47</v>
      </c>
    </row>
    <row r="32" spans="12:14" x14ac:dyDescent="0.35">
      <c r="L32" s="1" t="s">
        <v>74</v>
      </c>
      <c r="M32" s="1" t="s">
        <v>36</v>
      </c>
      <c r="N32" s="1" t="s">
        <v>45</v>
      </c>
    </row>
    <row r="33" spans="12:14" x14ac:dyDescent="0.35">
      <c r="L33" s="1" t="s">
        <v>75</v>
      </c>
      <c r="M33" s="1" t="s">
        <v>39</v>
      </c>
      <c r="N33" s="1" t="s">
        <v>46</v>
      </c>
    </row>
    <row r="34" spans="12:14" x14ac:dyDescent="0.35">
      <c r="L34" s="1" t="s">
        <v>76</v>
      </c>
      <c r="M34" s="1" t="s">
        <v>44</v>
      </c>
      <c r="N34" s="1" t="s">
        <v>47</v>
      </c>
    </row>
    <row r="35" spans="12:14" x14ac:dyDescent="0.35">
      <c r="L35" s="1" t="s">
        <v>77</v>
      </c>
      <c r="M35" s="1" t="s">
        <v>36</v>
      </c>
      <c r="N35" s="1" t="s">
        <v>45</v>
      </c>
    </row>
    <row r="36" spans="12:14" x14ac:dyDescent="0.35">
      <c r="L36" s="1" t="s">
        <v>78</v>
      </c>
      <c r="M36" s="1" t="s">
        <v>39</v>
      </c>
      <c r="N36" s="1" t="s">
        <v>46</v>
      </c>
    </row>
    <row r="37" spans="12:14" x14ac:dyDescent="0.35">
      <c r="L37" s="1" t="s">
        <v>79</v>
      </c>
      <c r="M37" s="1" t="s">
        <v>44</v>
      </c>
      <c r="N37" s="1" t="s">
        <v>47</v>
      </c>
    </row>
    <row r="38" spans="12:14" x14ac:dyDescent="0.35">
      <c r="L38" s="1" t="s">
        <v>80</v>
      </c>
      <c r="M38" s="1" t="s">
        <v>36</v>
      </c>
      <c r="N38" s="1" t="s">
        <v>45</v>
      </c>
    </row>
    <row r="39" spans="12:14" x14ac:dyDescent="0.35">
      <c r="L39" s="1" t="s">
        <v>81</v>
      </c>
      <c r="M39" s="1" t="s">
        <v>39</v>
      </c>
      <c r="N39" s="1" t="s">
        <v>46</v>
      </c>
    </row>
    <row r="40" spans="12:14" x14ac:dyDescent="0.35">
      <c r="L40" s="1" t="s">
        <v>82</v>
      </c>
      <c r="M40" s="1" t="s">
        <v>44</v>
      </c>
      <c r="N40" s="1" t="s">
        <v>47</v>
      </c>
    </row>
    <row r="41" spans="12:14" x14ac:dyDescent="0.35">
      <c r="L41" s="1" t="s">
        <v>83</v>
      </c>
      <c r="M41" s="1" t="s">
        <v>36</v>
      </c>
      <c r="N41" s="1" t="s">
        <v>45</v>
      </c>
    </row>
    <row r="42" spans="12:14" x14ac:dyDescent="0.35">
      <c r="L42" s="1" t="s">
        <v>84</v>
      </c>
      <c r="M42" s="1" t="s">
        <v>39</v>
      </c>
      <c r="N42" s="1" t="s">
        <v>46</v>
      </c>
    </row>
    <row r="43" spans="12:14" x14ac:dyDescent="0.35">
      <c r="L43" s="1" t="s">
        <v>85</v>
      </c>
      <c r="M43" s="1" t="s">
        <v>44</v>
      </c>
      <c r="N43" s="1" t="s">
        <v>47</v>
      </c>
    </row>
    <row r="44" spans="12:14" x14ac:dyDescent="0.35">
      <c r="L44" s="1" t="s">
        <v>86</v>
      </c>
      <c r="M44" s="1" t="s">
        <v>36</v>
      </c>
      <c r="N44" s="1" t="s">
        <v>45</v>
      </c>
    </row>
    <row r="45" spans="12:14" x14ac:dyDescent="0.35">
      <c r="L45" s="1" t="s">
        <v>87</v>
      </c>
      <c r="M45" s="1" t="s">
        <v>39</v>
      </c>
      <c r="N45" s="1" t="s">
        <v>46</v>
      </c>
    </row>
    <row r="46" spans="12:14" x14ac:dyDescent="0.35">
      <c r="L46" s="1" t="s">
        <v>88</v>
      </c>
      <c r="M46" s="1" t="s">
        <v>44</v>
      </c>
      <c r="N46" s="1" t="s">
        <v>47</v>
      </c>
    </row>
    <row r="47" spans="12:14" x14ac:dyDescent="0.35">
      <c r="L47" s="1" t="s">
        <v>89</v>
      </c>
      <c r="M47" s="1" t="s">
        <v>36</v>
      </c>
      <c r="N47" s="1" t="s">
        <v>45</v>
      </c>
    </row>
    <row r="48" spans="12:14" x14ac:dyDescent="0.35">
      <c r="L48" s="1" t="s">
        <v>90</v>
      </c>
      <c r="M48" s="1" t="s">
        <v>39</v>
      </c>
      <c r="N48" s="1" t="s">
        <v>46</v>
      </c>
    </row>
    <row r="49" spans="12:14" x14ac:dyDescent="0.35">
      <c r="L49" s="1" t="s">
        <v>123</v>
      </c>
      <c r="M49" s="1" t="s">
        <v>44</v>
      </c>
      <c r="N49" s="1" t="s">
        <v>47</v>
      </c>
    </row>
    <row r="50" spans="12:14" x14ac:dyDescent="0.35">
      <c r="L50" s="1" t="s">
        <v>91</v>
      </c>
      <c r="M50" s="1" t="s">
        <v>36</v>
      </c>
      <c r="N50" s="1" t="s">
        <v>45</v>
      </c>
    </row>
    <row r="51" spans="12:14" x14ac:dyDescent="0.35">
      <c r="L51" s="1" t="s">
        <v>92</v>
      </c>
      <c r="M51" s="1" t="s">
        <v>39</v>
      </c>
      <c r="N51" s="1" t="s">
        <v>46</v>
      </c>
    </row>
    <row r="52" spans="12:14" x14ac:dyDescent="0.35">
      <c r="L52" s="1" t="s">
        <v>93</v>
      </c>
      <c r="M52" s="1" t="s">
        <v>44</v>
      </c>
      <c r="N52" s="1" t="s">
        <v>47</v>
      </c>
    </row>
    <row r="53" spans="12:14" x14ac:dyDescent="0.35">
      <c r="L53" s="1" t="s">
        <v>94</v>
      </c>
      <c r="M53" s="1" t="s">
        <v>36</v>
      </c>
      <c r="N53" s="1" t="s">
        <v>45</v>
      </c>
    </row>
    <row r="54" spans="12:14" x14ac:dyDescent="0.35">
      <c r="L54" s="1" t="s">
        <v>95</v>
      </c>
      <c r="M54" s="1" t="s">
        <v>39</v>
      </c>
      <c r="N54" s="1" t="s">
        <v>46</v>
      </c>
    </row>
    <row r="55" spans="12:14" x14ac:dyDescent="0.35">
      <c r="L55" s="1" t="s">
        <v>96</v>
      </c>
      <c r="M55" s="1" t="s">
        <v>44</v>
      </c>
      <c r="N55" s="1" t="s">
        <v>47</v>
      </c>
    </row>
    <row r="56" spans="12:14" x14ac:dyDescent="0.35">
      <c r="L56" s="1" t="s">
        <v>97</v>
      </c>
      <c r="M56" s="1" t="s">
        <v>36</v>
      </c>
      <c r="N56" s="1" t="s">
        <v>45</v>
      </c>
    </row>
    <row r="57" spans="12:14" x14ac:dyDescent="0.35">
      <c r="L57" s="1" t="s">
        <v>98</v>
      </c>
      <c r="M57" s="1" t="s">
        <v>39</v>
      </c>
      <c r="N57" s="1" t="s">
        <v>46</v>
      </c>
    </row>
    <row r="58" spans="12:14" x14ac:dyDescent="0.35">
      <c r="L58" s="1" t="s">
        <v>99</v>
      </c>
      <c r="M58" s="1" t="s">
        <v>44</v>
      </c>
      <c r="N58" s="1" t="s">
        <v>47</v>
      </c>
    </row>
    <row r="59" spans="12:14" x14ac:dyDescent="0.35">
      <c r="L59" s="1" t="s">
        <v>100</v>
      </c>
      <c r="M59" s="1" t="s">
        <v>36</v>
      </c>
      <c r="N59" s="1" t="s">
        <v>45</v>
      </c>
    </row>
    <row r="60" spans="12:14" x14ac:dyDescent="0.35">
      <c r="L60" s="1" t="s">
        <v>101</v>
      </c>
      <c r="M60" s="1" t="s">
        <v>39</v>
      </c>
      <c r="N60" s="1" t="s">
        <v>46</v>
      </c>
    </row>
    <row r="61" spans="12:14" x14ac:dyDescent="0.35">
      <c r="L61" s="1" t="s">
        <v>102</v>
      </c>
      <c r="M61" s="1" t="s">
        <v>44</v>
      </c>
      <c r="N61" s="1" t="s">
        <v>47</v>
      </c>
    </row>
    <row r="62" spans="12:14" x14ac:dyDescent="0.35">
      <c r="L62" s="1" t="s">
        <v>103</v>
      </c>
      <c r="M62" s="1" t="s">
        <v>36</v>
      </c>
      <c r="N62" s="1" t="s">
        <v>45</v>
      </c>
    </row>
    <row r="63" spans="12:14" x14ac:dyDescent="0.35">
      <c r="L63" s="1" t="s">
        <v>104</v>
      </c>
      <c r="M63" s="1" t="s">
        <v>39</v>
      </c>
      <c r="N63" s="1" t="s">
        <v>46</v>
      </c>
    </row>
    <row r="64" spans="12:14" x14ac:dyDescent="0.35">
      <c r="L64" s="1" t="s">
        <v>105</v>
      </c>
      <c r="M64" s="1" t="s">
        <v>44</v>
      </c>
      <c r="N64" s="1" t="s">
        <v>47</v>
      </c>
    </row>
    <row r="65" spans="12:14" x14ac:dyDescent="0.35">
      <c r="L65" s="1" t="s">
        <v>106</v>
      </c>
      <c r="M65" s="1" t="s">
        <v>36</v>
      </c>
      <c r="N65" s="1" t="s">
        <v>45</v>
      </c>
    </row>
    <row r="66" spans="12:14" x14ac:dyDescent="0.35">
      <c r="L66" s="1" t="s">
        <v>107</v>
      </c>
      <c r="M66" s="1" t="s">
        <v>39</v>
      </c>
      <c r="N66" s="1" t="s">
        <v>46</v>
      </c>
    </row>
    <row r="67" spans="12:14" x14ac:dyDescent="0.35">
      <c r="L67" s="1" t="s">
        <v>108</v>
      </c>
      <c r="M67" s="1" t="s">
        <v>44</v>
      </c>
      <c r="N67" s="1" t="s">
        <v>47</v>
      </c>
    </row>
    <row r="68" spans="12:14" x14ac:dyDescent="0.35">
      <c r="L68" s="1" t="s">
        <v>109</v>
      </c>
      <c r="M68" s="1" t="s">
        <v>36</v>
      </c>
      <c r="N68" s="1" t="s">
        <v>45</v>
      </c>
    </row>
    <row r="69" spans="12:14" x14ac:dyDescent="0.35">
      <c r="L69" s="1" t="s">
        <v>110</v>
      </c>
      <c r="M69" s="1" t="s">
        <v>39</v>
      </c>
      <c r="N69" s="1" t="s">
        <v>46</v>
      </c>
    </row>
    <row r="70" spans="12:14" x14ac:dyDescent="0.35">
      <c r="L70" s="1" t="s">
        <v>111</v>
      </c>
      <c r="M70" s="1" t="s">
        <v>44</v>
      </c>
      <c r="N70" s="1" t="s">
        <v>47</v>
      </c>
    </row>
    <row r="71" spans="12:14" x14ac:dyDescent="0.35">
      <c r="L71" s="1" t="s">
        <v>112</v>
      </c>
      <c r="M71" s="1" t="s">
        <v>36</v>
      </c>
      <c r="N71" s="1" t="s">
        <v>45</v>
      </c>
    </row>
    <row r="72" spans="12:14" x14ac:dyDescent="0.35">
      <c r="L72" s="1" t="s">
        <v>113</v>
      </c>
      <c r="M72" s="1" t="s">
        <v>39</v>
      </c>
      <c r="N72" s="1" t="s">
        <v>46</v>
      </c>
    </row>
    <row r="73" spans="12:14" x14ac:dyDescent="0.35">
      <c r="L73" s="1" t="s">
        <v>114</v>
      </c>
      <c r="M73" s="1" t="s">
        <v>44</v>
      </c>
      <c r="N73" s="1" t="s">
        <v>47</v>
      </c>
    </row>
    <row r="74" spans="12:14" x14ac:dyDescent="0.35">
      <c r="L74" s="1" t="s">
        <v>115</v>
      </c>
      <c r="M74" s="1" t="s">
        <v>36</v>
      </c>
      <c r="N74" s="1" t="s">
        <v>45</v>
      </c>
    </row>
    <row r="75" spans="12:14" x14ac:dyDescent="0.35">
      <c r="L75" s="1" t="s">
        <v>116</v>
      </c>
      <c r="M75" s="1" t="s">
        <v>39</v>
      </c>
      <c r="N75" s="1" t="s">
        <v>46</v>
      </c>
    </row>
    <row r="76" spans="12:14" x14ac:dyDescent="0.35">
      <c r="L76" s="1" t="s">
        <v>117</v>
      </c>
      <c r="M76" s="1" t="s">
        <v>44</v>
      </c>
      <c r="N76" s="1" t="s">
        <v>47</v>
      </c>
    </row>
    <row r="77" spans="12:14" x14ac:dyDescent="0.35">
      <c r="L77" s="1" t="s">
        <v>118</v>
      </c>
      <c r="M77" s="1" t="s">
        <v>36</v>
      </c>
      <c r="N77" s="1" t="s">
        <v>45</v>
      </c>
    </row>
    <row r="78" spans="12:14" x14ac:dyDescent="0.35">
      <c r="L78" s="1" t="s">
        <v>119</v>
      </c>
      <c r="M78" s="1" t="s">
        <v>39</v>
      </c>
      <c r="N78" s="1" t="s">
        <v>46</v>
      </c>
    </row>
    <row r="79" spans="12:14" x14ac:dyDescent="0.35">
      <c r="L79" s="1" t="s">
        <v>120</v>
      </c>
      <c r="M79" s="1" t="s">
        <v>44</v>
      </c>
      <c r="N79" s="1" t="s">
        <v>47</v>
      </c>
    </row>
    <row r="80" spans="12:14" x14ac:dyDescent="0.35">
      <c r="L80" s="1" t="s">
        <v>121</v>
      </c>
      <c r="M80" s="1" t="s">
        <v>36</v>
      </c>
      <c r="N80" s="1" t="s">
        <v>45</v>
      </c>
    </row>
    <row r="81" spans="12:14" x14ac:dyDescent="0.35">
      <c r="L81" s="1" t="s">
        <v>122</v>
      </c>
      <c r="M81" s="1" t="s">
        <v>39</v>
      </c>
      <c r="N81" s="1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0BC5B6-C202-46E7-80D7-DAB2FE3341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Team</vt:lpstr>
      <vt:lpstr>Campaign</vt:lpstr>
      <vt:lpstr>Partner</vt:lpstr>
      <vt:lpstr>Campaign &amp; Partner</vt:lpstr>
      <vt:lpstr>Partner &amp; Placement</vt:lpstr>
      <vt:lpstr>Device</vt:lpstr>
      <vt:lpstr>Campaign &amp; Device</vt:lpstr>
      <vt:lpstr>Partner &amp; Device</vt:lpstr>
      <vt:lpstr>Campaign, Partner, Device</vt:lpstr>
      <vt:lpstr>Benchmarks</vt:lpstr>
      <vt:lpstr>Mapping</vt:lpstr>
      <vt:lpstr>Benchmark_Headers</vt:lpstr>
      <vt:lpstr>DeviceDropdown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Bailey</dc:creator>
  <cp:lastModifiedBy>Vishal Kumar</cp:lastModifiedBy>
  <cp:lastPrinted>2015-10-02T21:14:56Z</cp:lastPrinted>
  <dcterms:created xsi:type="dcterms:W3CDTF">2015-01-07T19:42:54Z</dcterms:created>
  <dcterms:modified xsi:type="dcterms:W3CDTF">2018-01-11T17:08:15Z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7bcb33c3-8a9e-4a01-9764-fffc2d24f5d0</vt:lpwstr>
  </property>
</Properties>
</file>