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D0057594-A743-47DE-9CEF-1867F66C12B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31" i="1" l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333" i="1" l="1"/>
</calcChain>
</file>

<file path=xl/sharedStrings.xml><?xml version="1.0" encoding="utf-8"?>
<sst xmlns="http://schemas.openxmlformats.org/spreadsheetml/2006/main" count="3995" uniqueCount="779">
  <si>
    <t>Problem</t>
  </si>
  <si>
    <t>Difficulty</t>
  </si>
  <si>
    <t>Acceptance Rate</t>
  </si>
  <si>
    <t>Companies</t>
  </si>
  <si>
    <t>Easy</t>
  </si>
  <si>
    <t>55.4%</t>
  </si>
  <si>
    <t>Amazon, Apple, Bloomberg, Goldman Sacs, Google, Linkedin, Meta, Microsoft, Oracle, Salesforce, Walmart</t>
  </si>
  <si>
    <t>Med.</t>
  </si>
  <si>
    <t>35.5%</t>
  </si>
  <si>
    <t>Amazon, Apple, Bloomberg, Goldman Sacs, Google, Meta, Microsoft, Oracle, Salesforce, Walmart</t>
  </si>
  <si>
    <t>30.0%</t>
  </si>
  <si>
    <t>Amazon, Bloomberg, Google, Meta, Microsoft</t>
  </si>
  <si>
    <t>Hard</t>
  </si>
  <si>
    <t>29.1%</t>
  </si>
  <si>
    <t>Amazon, Apple, Bloomberg, Google, Meta, Microsoft</t>
  </si>
  <si>
    <t>57.4%</t>
  </si>
  <si>
    <t>Amazon, Bloomberg, Goldman Sacs, Google, Meta, Microsoft, Oracle</t>
  </si>
  <si>
    <t>68.1%</t>
  </si>
  <si>
    <t>Adobe, Amazon, Bloomberg, Google, Meta, Microsoft, Oracle, Walmart</t>
  </si>
  <si>
    <t>46.7%</t>
  </si>
  <si>
    <t>Amazon, Bloomberg, Google, Meta</t>
  </si>
  <si>
    <t>56.2%</t>
  </si>
  <si>
    <t>Amazon, Apple, Bloomberg, Google, Meta, Microsoft, Oracle, Salesforce, Walmart</t>
  </si>
  <si>
    <t>35.9%</t>
  </si>
  <si>
    <t>77.5%</t>
  </si>
  <si>
    <t>Amazon, Bloomberg, Google, Meta, Microsoft, Uber</t>
  </si>
  <si>
    <t>51.9%</t>
  </si>
  <si>
    <t>Amazon, Bloomberg, Goldman Sacs, Google, Linkedin, Meta, Microsoft, Oracle</t>
  </si>
  <si>
    <t>53.3%</t>
  </si>
  <si>
    <t>Amazon, Apple, Bloomberg, Google, Meta, Microsoft, Oracle, Uber</t>
  </si>
  <si>
    <t>66.1%</t>
  </si>
  <si>
    <t>Amazon, Bloomberg, Goldman Sacs, Google, Meta, Microsoft</t>
  </si>
  <si>
    <t>59.1%</t>
  </si>
  <si>
    <t>52.0%</t>
  </si>
  <si>
    <t>Google, Meta</t>
  </si>
  <si>
    <t>43.3%</t>
  </si>
  <si>
    <t>Amazon, Bloomberg, Goldman Sacs, Google, Meta, Microsoft, Oracle, Walmart</t>
  </si>
  <si>
    <t>76.7%</t>
  </si>
  <si>
    <t>41.0%</t>
  </si>
  <si>
    <t>Amazon, Google, Meta, Microsoft, Oracle, Salesforce</t>
  </si>
  <si>
    <t>47.1%</t>
  </si>
  <si>
    <t>42.4%</t>
  </si>
  <si>
    <t>59.9%</t>
  </si>
  <si>
    <t>49.0%</t>
  </si>
  <si>
    <t>Google</t>
  </si>
  <si>
    <t>56.4%</t>
  </si>
  <si>
    <t>Amazon, Google, Uber</t>
  </si>
  <si>
    <t>52.1%</t>
  </si>
  <si>
    <t>Amazon, Bloomberg, Goldman Sacs, Google, Meta, Microsoft, Oracle, Uber</t>
  </si>
  <si>
    <t>46.6%</t>
  </si>
  <si>
    <t>Amazon, Bloomberg, Google, Linkedin, Meta, Microsoft</t>
  </si>
  <si>
    <t>78.9%</t>
  </si>
  <si>
    <t>Amazon, Apple, Bloomberg, Google, Meta, Microsoft, Oracle</t>
  </si>
  <si>
    <t>66.9%</t>
  </si>
  <si>
    <t>Amazon, Google, Meta, Microsoft</t>
  </si>
  <si>
    <t>81.9%</t>
  </si>
  <si>
    <t>66.4%</t>
  </si>
  <si>
    <t>69.6%</t>
  </si>
  <si>
    <t>62.5%</t>
  </si>
  <si>
    <t>Amazon, Bloomberg, Google, Meta, Microsoft, Oracle, Salesforce, Walmart</t>
  </si>
  <si>
    <t>60.9%</t>
  </si>
  <si>
    <t>Amazon, Google</t>
  </si>
  <si>
    <t>44.2%</t>
  </si>
  <si>
    <t>Bloomberg, Google, Meta, Microsoft</t>
  </si>
  <si>
    <t>64.0%</t>
  </si>
  <si>
    <t>Amazon, Google, Linkedin</t>
  </si>
  <si>
    <t>79.6%</t>
  </si>
  <si>
    <t>79.8%</t>
  </si>
  <si>
    <t>Amazon, Google, Meta</t>
  </si>
  <si>
    <t>76.2%</t>
  </si>
  <si>
    <t>63.4%</t>
  </si>
  <si>
    <t>Amazon, Apple, Bloomberg, Goldman Sacs, Google, Microsoft, Oracle, Walmart</t>
  </si>
  <si>
    <t>Amazon, Apple, Bloomberg, Goldman Sacs, Google, Meta, Microsoft, Oracle, Salesforce</t>
  </si>
  <si>
    <t>62.9%</t>
  </si>
  <si>
    <t>Amazon, Bloomberg, Google, Meta, Uber</t>
  </si>
  <si>
    <t>58.7%</t>
  </si>
  <si>
    <t>Amazon, Google, Meta, Walmart</t>
  </si>
  <si>
    <t>57.1%</t>
  </si>
  <si>
    <t>43.9%</t>
  </si>
  <si>
    <t>Google, Uber</t>
  </si>
  <si>
    <t>50.5%</t>
  </si>
  <si>
    <t>45.1%</t>
  </si>
  <si>
    <t>Amazon, Apple, Bloomberg, Goldman Sacs, Google, Meta, Microsoft, Oracle</t>
  </si>
  <si>
    <t>48.9%</t>
  </si>
  <si>
    <t>68.2%</t>
  </si>
  <si>
    <t>82.1%</t>
  </si>
  <si>
    <t>77.3%</t>
  </si>
  <si>
    <t>Amazon, Google, Linkedin, Meta</t>
  </si>
  <si>
    <t>48.3%</t>
  </si>
  <si>
    <t>56.9%</t>
  </si>
  <si>
    <t>45.9%</t>
  </si>
  <si>
    <t>Amazon, Google, Microsoft</t>
  </si>
  <si>
    <t>37.4%</t>
  </si>
  <si>
    <t>40.6%</t>
  </si>
  <si>
    <t>85.2%</t>
  </si>
  <si>
    <t>70.5%</t>
  </si>
  <si>
    <t>89.3%</t>
  </si>
  <si>
    <t>60.7%</t>
  </si>
  <si>
    <t>39.6%</t>
  </si>
  <si>
    <t>Amazon, Bloomberg, Google, Linkedin, Meta</t>
  </si>
  <si>
    <t>64.9%</t>
  </si>
  <si>
    <t>37.1%</t>
  </si>
  <si>
    <t>Amazon, Google, Meta, Uber</t>
  </si>
  <si>
    <t>49.2%</t>
  </si>
  <si>
    <t>Google, Linkedin, Meta</t>
  </si>
  <si>
    <t>61.8%</t>
  </si>
  <si>
    <t>45.8%</t>
  </si>
  <si>
    <t>36.6%</t>
  </si>
  <si>
    <t>Adobe, Amazon, Apple, Bloomberg, Goldman Sacs, Google, Meta, Microsoft, Oracle, Salesforce, Walmart</t>
  </si>
  <si>
    <t>51.1%</t>
  </si>
  <si>
    <t>Amazon, Bloomberg, Google, Meta, Microsoft, Oracle, Salesforce</t>
  </si>
  <si>
    <t>18.9%</t>
  </si>
  <si>
    <t>Adobe, Amazon, Apple, Bloomberg, Goldman Sacs, Google, Meta, Microsoft</t>
  </si>
  <si>
    <t>58.9%</t>
  </si>
  <si>
    <t>Amazon, Bloomberg, Google, Meta, Microsoft, Oracle</t>
  </si>
  <si>
    <t>64.4%</t>
  </si>
  <si>
    <t>Adobe, Amazon, Apple, Bloomberg, Google, Meta, Microsoft, Oracle</t>
  </si>
  <si>
    <t>Amazon, Apple, Bloomberg, Google, Meta, Microsoft, Oracle, Walmart</t>
  </si>
  <si>
    <t>36.7%</t>
  </si>
  <si>
    <t>Adobe, Amazon, Apple, Bloomberg, Google, Meta, Microsoft, Oracle, Walmart</t>
  </si>
  <si>
    <t>Amazon, Bloomberg, Google, Linkedin, Meta, Microsoft, Uber</t>
  </si>
  <si>
    <t>37.8%</t>
  </si>
  <si>
    <t>48.4%</t>
  </si>
  <si>
    <t>66.5%</t>
  </si>
  <si>
    <t>76.8%</t>
  </si>
  <si>
    <t>42.0%</t>
  </si>
  <si>
    <t>Amazon, Apple, Bloomberg, Goldman Sacs, Google, Linkedin, Meta, Microsoft, Oracle, Walmart</t>
  </si>
  <si>
    <t>66.8%</t>
  </si>
  <si>
    <t>Amazon, Bloomberg, Google, Microsoft</t>
  </si>
  <si>
    <t>62.4%</t>
  </si>
  <si>
    <t>Amazon, Bloomberg, Google, Meta, Microsoft, Salesforce</t>
  </si>
  <si>
    <t>59.8%</t>
  </si>
  <si>
    <t>59.7%</t>
  </si>
  <si>
    <t>44.7%</t>
  </si>
  <si>
    <t>18.2%</t>
  </si>
  <si>
    <t>42.6%</t>
  </si>
  <si>
    <t>Amazon, Bloomberg, Google, Meta, Microsoft, Oracle, Uber</t>
  </si>
  <si>
    <t>42.5%</t>
  </si>
  <si>
    <t>46.4%</t>
  </si>
  <si>
    <t>Amazon, Apple, Bloomberg, Google, Linkedin, Meta, Microsoft, Uber</t>
  </si>
  <si>
    <t>48.6%</t>
  </si>
  <si>
    <t>61.9%</t>
  </si>
  <si>
    <t>Amazon, Apple, Bloomberg, Google, Meta, Microsoft, Uber, Walmart</t>
  </si>
  <si>
    <t>63.7%</t>
  </si>
  <si>
    <t>74.2%</t>
  </si>
  <si>
    <t>Amazon, Bloomberg, Google, Linkedin, Meta, Microsoft, Walmart</t>
  </si>
  <si>
    <t>40.8%</t>
  </si>
  <si>
    <t>Amazon, Bloomberg, Google, Meta, Microsoft, Oracle, Walmart</t>
  </si>
  <si>
    <t>64.6%</t>
  </si>
  <si>
    <t>Amazon, Apple, Bloomberg, Goldman Sacs, Google, Meta, Microsoft, Salesforce, Walmart</t>
  </si>
  <si>
    <t>29.6%</t>
  </si>
  <si>
    <t>41.3%</t>
  </si>
  <si>
    <t>Amazon, Atlassian, Bloomberg, Google, Meta, Microsoft</t>
  </si>
  <si>
    <t>80.4%</t>
  </si>
  <si>
    <t>Amazon, Apple, Bloomberg, Google, Meta, Microsoft, Uber</t>
  </si>
  <si>
    <t>70.6%</t>
  </si>
  <si>
    <t>Amazon, Apple, Bloomberg, Goldman Sacs, Google, Meta, Microsoft, Oracle, Salesforce, Uber</t>
  </si>
  <si>
    <t>Amazon, Bloomberg, Google, Linkedin, Meta, Microsoft, Oracle, Walmart</t>
  </si>
  <si>
    <t>72.1%</t>
  </si>
  <si>
    <t>39.2%</t>
  </si>
  <si>
    <t>49.1%</t>
  </si>
  <si>
    <t>43.2%</t>
  </si>
  <si>
    <t>Amazon, Bloomberg, Google, Meta, Microsoft, Uber, Walmart</t>
  </si>
  <si>
    <t>55.8%</t>
  </si>
  <si>
    <t>49.5%</t>
  </si>
  <si>
    <t>65.6%</t>
  </si>
  <si>
    <t>47.3%</t>
  </si>
  <si>
    <t>47.5%</t>
  </si>
  <si>
    <t>Amazon, Apple, Atlassian, Google, Meta, Uber</t>
  </si>
  <si>
    <t>40.2%</t>
  </si>
  <si>
    <t>Amazon, Bloomberg, Goldman Sacs, Google, Linkedin, Meta, Microsoft</t>
  </si>
  <si>
    <t>53.4%</t>
  </si>
  <si>
    <t>58.4%</t>
  </si>
  <si>
    <t>59.3%</t>
  </si>
  <si>
    <t>66.7%</t>
  </si>
  <si>
    <t>44.9%</t>
  </si>
  <si>
    <t>Adobe, Amazon, Google, Linkedin, Meta, Microsoft, Salesforce, Uber</t>
  </si>
  <si>
    <t>80.5%</t>
  </si>
  <si>
    <t>Amazon, Atlassian, Bloomberg, Google, Meta, Microsoft, Oracle, Salesforce, Uber, Walmart</t>
  </si>
  <si>
    <t>46.9%</t>
  </si>
  <si>
    <t>53.2%</t>
  </si>
  <si>
    <t>58.6%</t>
  </si>
  <si>
    <t>52.5%</t>
  </si>
  <si>
    <t>49.3%</t>
  </si>
  <si>
    <t>78.2%</t>
  </si>
  <si>
    <t>64.7%</t>
  </si>
  <si>
    <t>76.9%</t>
  </si>
  <si>
    <t>54.9%</t>
  </si>
  <si>
    <t>68.0%</t>
  </si>
  <si>
    <t>Adobe, Amazon, Apple, Bloomberg, Goldman Sacs, Google, Meta, Microsoft, Salesforce, Uber</t>
  </si>
  <si>
    <t>69.1%</t>
  </si>
  <si>
    <t>42.2%</t>
  </si>
  <si>
    <t>Adobe, Amazon, Apple, Bloomberg, Google, Linkedin, Meta, Microsoft, Uber</t>
  </si>
  <si>
    <t>71.7%</t>
  </si>
  <si>
    <t>46.1%</t>
  </si>
  <si>
    <t>Amazon, Apple, Bloomberg, Google, Meta, Microsoft, Oracle, Salesforce</t>
  </si>
  <si>
    <t>75.6%</t>
  </si>
  <si>
    <t>48.0%</t>
  </si>
  <si>
    <t>Amazon, Apple, Bloomberg, Google, Meta, Microsoft, Walmart</t>
  </si>
  <si>
    <t>52.2%</t>
  </si>
  <si>
    <t>54.3%</t>
  </si>
  <si>
    <t>Amazon, Bloomberg, Google, Microsoft, Oracle</t>
  </si>
  <si>
    <t>62.0%</t>
  </si>
  <si>
    <t>44.8%</t>
  </si>
  <si>
    <t>Amazon, Apple, Bloomberg, Goldman Sacs, Google, Linkedin, Meta, Microsoft, Oracle, Salesforce, Uber, Walmart</t>
  </si>
  <si>
    <t>61.2%</t>
  </si>
  <si>
    <t>28.6%</t>
  </si>
  <si>
    <t>54.4%</t>
  </si>
  <si>
    <t>Amazon, Apple, Google, Meta, Microsoft</t>
  </si>
  <si>
    <t>50.9%</t>
  </si>
  <si>
    <t>34.7%</t>
  </si>
  <si>
    <t>Adobe, Amazon, Bloomberg, Goldman Sacs, Google, Linkedin, Meta, Microsoft</t>
  </si>
  <si>
    <t>52.3%</t>
  </si>
  <si>
    <t>71.2%</t>
  </si>
  <si>
    <t>Google, Microsoft</t>
  </si>
  <si>
    <t>42.7%</t>
  </si>
  <si>
    <t>50.0%</t>
  </si>
  <si>
    <t>66.2%</t>
  </si>
  <si>
    <t>Amazon, Bloomberg, Google, Meta, Oracle, Uber</t>
  </si>
  <si>
    <t>57.8%</t>
  </si>
  <si>
    <t>48.8%</t>
  </si>
  <si>
    <t>67.7%</t>
  </si>
  <si>
    <t>Amazon, Apple, Bloomberg, Google, Microsoft</t>
  </si>
  <si>
    <t>52.9%</t>
  </si>
  <si>
    <t>Amazon, Apple, Bloomberg, Google, Linkedin, Meta, Microsoft, Salesforce, Uber</t>
  </si>
  <si>
    <t>67.8%</t>
  </si>
  <si>
    <t>63.0%</t>
  </si>
  <si>
    <t>48.5%</t>
  </si>
  <si>
    <t>Amazon, Google, Meta, Microsoft, Oracle</t>
  </si>
  <si>
    <t>45.2%</t>
  </si>
  <si>
    <t>78.8%</t>
  </si>
  <si>
    <t>Amazon, Google, Linkedin, Oracle</t>
  </si>
  <si>
    <t>75.0%</t>
  </si>
  <si>
    <t>35.8%</t>
  </si>
  <si>
    <t>Amazon, Bloomberg, Google</t>
  </si>
  <si>
    <t>67.5%</t>
  </si>
  <si>
    <t>Amazon, Apple, Bloomberg, Goldman Sacs, Google, Meta, Microsoft, Oracle, Uber</t>
  </si>
  <si>
    <t>47.4%</t>
  </si>
  <si>
    <t>36.5%</t>
  </si>
  <si>
    <t>Amazon, Google, Meta, Microsoft, Uber</t>
  </si>
  <si>
    <t>40.1%</t>
  </si>
  <si>
    <t>Amazon, Bloomberg, Google, Linkedin, Microsoft</t>
  </si>
  <si>
    <t>55.5%</t>
  </si>
  <si>
    <t>62.7%</t>
  </si>
  <si>
    <t>53.1%</t>
  </si>
  <si>
    <t>Amazon, Apple, Google, Meta, Microsoft, Uber</t>
  </si>
  <si>
    <t>Amazon, Apple, Bloomberg, Goldman Sacs, Google, Meta, Microsoft, Oracle, Salesforce, Uber, Walmart</t>
  </si>
  <si>
    <t>70.0%</t>
  </si>
  <si>
    <t>55.1%</t>
  </si>
  <si>
    <t>88.1%</t>
  </si>
  <si>
    <t>54.8%</t>
  </si>
  <si>
    <t>57.5%</t>
  </si>
  <si>
    <t>64.3%</t>
  </si>
  <si>
    <t>37.2%</t>
  </si>
  <si>
    <t>Amazon, Atlassian, Google, Meta, Microsoft</t>
  </si>
  <si>
    <t>76.4%</t>
  </si>
  <si>
    <t>Amazon, Atlassian, Google, Microsoft</t>
  </si>
  <si>
    <t>82.4%</t>
  </si>
  <si>
    <t>55.0%</t>
  </si>
  <si>
    <t>64.2%</t>
  </si>
  <si>
    <t>34.6%</t>
  </si>
  <si>
    <t>57.6%</t>
  </si>
  <si>
    <t>48.2%</t>
  </si>
  <si>
    <t>56.7%</t>
  </si>
  <si>
    <t>Amazon, Bloomberg, Goldman Sacs, Google, Meta</t>
  </si>
  <si>
    <t>73.8%</t>
  </si>
  <si>
    <t>25.4%</t>
  </si>
  <si>
    <t>31.8%</t>
  </si>
  <si>
    <t>73.1%</t>
  </si>
  <si>
    <t>30.8%</t>
  </si>
  <si>
    <t>59.2%</t>
  </si>
  <si>
    <t>51.0%</t>
  </si>
  <si>
    <t>63.1%</t>
  </si>
  <si>
    <t>Amazon, Apple, Bloomberg, Google, Meta, Walmart</t>
  </si>
  <si>
    <t>47.0%</t>
  </si>
  <si>
    <t>54.2%</t>
  </si>
  <si>
    <t>28.8%</t>
  </si>
  <si>
    <t>Amazon, Apple, Atlassian, Google, Linkedin, Meta, Microsoft</t>
  </si>
  <si>
    <t>61.1%</t>
  </si>
  <si>
    <t>45.0%</t>
  </si>
  <si>
    <t>60.0%</t>
  </si>
  <si>
    <t>Amazon, Apple, Google, Linkedin, Meta, Microsoft</t>
  </si>
  <si>
    <t>49.8%</t>
  </si>
  <si>
    <t>44.1%</t>
  </si>
  <si>
    <t>Amazon, Bloomberg, Goldman Sacs, Google, Meta, Microsoft, Salesforce</t>
  </si>
  <si>
    <t>67.1%</t>
  </si>
  <si>
    <t>67.0%</t>
  </si>
  <si>
    <t>56.0%</t>
  </si>
  <si>
    <t>89.1%</t>
  </si>
  <si>
    <t>37.9%</t>
  </si>
  <si>
    <t>Amazon, Apple, Bloomberg, Google</t>
  </si>
  <si>
    <t>80.3%</t>
  </si>
  <si>
    <t>76.3%</t>
  </si>
  <si>
    <t>55.6%</t>
  </si>
  <si>
    <t>72.7%</t>
  </si>
  <si>
    <t>81.5%</t>
  </si>
  <si>
    <t>Amazon, Google, Meta, Salesforce</t>
  </si>
  <si>
    <t>65.4%</t>
  </si>
  <si>
    <t>Adobe, Amazon, Bloomberg, Google, Meta, Microsoft, Oracle, Uber, Walmart</t>
  </si>
  <si>
    <t>65.5%</t>
  </si>
  <si>
    <t>Amazon, Goldman Sacs, Google, Linkedin, Meta, Microsoft, Salesforce</t>
  </si>
  <si>
    <t>49.4%</t>
  </si>
  <si>
    <t>89.6%</t>
  </si>
  <si>
    <t>Bloomberg, Google, Meta</t>
  </si>
  <si>
    <t>72.4%</t>
  </si>
  <si>
    <t>54.0%</t>
  </si>
  <si>
    <t>78.1%</t>
  </si>
  <si>
    <t>54.5%</t>
  </si>
  <si>
    <t>92.0%</t>
  </si>
  <si>
    <t>Google, Meta, Microsoft</t>
  </si>
  <si>
    <t>78.6%</t>
  </si>
  <si>
    <t>45.5%</t>
  </si>
  <si>
    <t>83.6%</t>
  </si>
  <si>
    <t>56.6%</t>
  </si>
  <si>
    <t>87.0%</t>
  </si>
  <si>
    <t>55.3%</t>
  </si>
  <si>
    <t>67.4%</t>
  </si>
  <si>
    <t>50.2%</t>
  </si>
  <si>
    <t>68.9%</t>
  </si>
  <si>
    <t>38.1%</t>
  </si>
  <si>
    <t>46.2%</t>
  </si>
  <si>
    <t>44.0%</t>
  </si>
  <si>
    <t>Amazon, Bloomberg, Goldman Sacs, Google, Meta, Microsoft, Uber</t>
  </si>
  <si>
    <t>74.4%</t>
  </si>
  <si>
    <t>40.4%</t>
  </si>
  <si>
    <t>61.7%</t>
  </si>
  <si>
    <t>56.1%</t>
  </si>
  <si>
    <t>26.0%</t>
  </si>
  <si>
    <t>Goldman Sacs, Google, Oracle</t>
  </si>
  <si>
    <t>40.5%</t>
  </si>
  <si>
    <t>Bloomberg, Google, Microsoft</t>
  </si>
  <si>
    <t>43.8%</t>
  </si>
  <si>
    <t>Amazon, Apple, Google, Meta</t>
  </si>
  <si>
    <t>52.8%</t>
  </si>
  <si>
    <t>54.7%</t>
  </si>
  <si>
    <t>84.5%</t>
  </si>
  <si>
    <t>67.2%</t>
  </si>
  <si>
    <t>71.1%</t>
  </si>
  <si>
    <t>Amazon, Google, Salesforce</t>
  </si>
  <si>
    <t>Amazon, Apple, Bloomberg, Google, Linkedin, Meta, Microsoft</t>
  </si>
  <si>
    <t>51.2%</t>
  </si>
  <si>
    <t>41.9%</t>
  </si>
  <si>
    <t>56.8%</t>
  </si>
  <si>
    <t>42.8%</t>
  </si>
  <si>
    <t>47.8%</t>
  </si>
  <si>
    <t>58.1%</t>
  </si>
  <si>
    <t>43.5%</t>
  </si>
  <si>
    <t>65.3%</t>
  </si>
  <si>
    <t>Amazon, Apple, Google, Linkedin, Meta, Walmart</t>
  </si>
  <si>
    <t>54.1%</t>
  </si>
  <si>
    <t>Google, Linkedin</t>
  </si>
  <si>
    <t>Amazon, Apple, Bloomberg, Google, Uber</t>
  </si>
  <si>
    <t>54.6%</t>
  </si>
  <si>
    <t>63.8%</t>
  </si>
  <si>
    <t>59.6%</t>
  </si>
  <si>
    <t>74.1%</t>
  </si>
  <si>
    <t>51.8%</t>
  </si>
  <si>
    <t>62.2%</t>
  </si>
  <si>
    <t>65.8%</t>
  </si>
  <si>
    <t>Amazon, Apple, Bloomberg, Goldman Sacs, Google, Meta, Microsoft</t>
  </si>
  <si>
    <t>55.7%</t>
  </si>
  <si>
    <t>37.3%</t>
  </si>
  <si>
    <t>51.3%</t>
  </si>
  <si>
    <t>38.9%</t>
  </si>
  <si>
    <t>36.4%</t>
  </si>
  <si>
    <t>59.4%</t>
  </si>
  <si>
    <t>43.6%</t>
  </si>
  <si>
    <t>Amazon, Google, Oracle, Uber</t>
  </si>
  <si>
    <t>47.2%</t>
  </si>
  <si>
    <t>Bloomberg, Goldman Sacs, Google</t>
  </si>
  <si>
    <t>58.0%</t>
  </si>
  <si>
    <t>Amazon, Google, Microsoft, Uber</t>
  </si>
  <si>
    <t>73.9%</t>
  </si>
  <si>
    <t>61.0%</t>
  </si>
  <si>
    <t>52.7%</t>
  </si>
  <si>
    <t>68.7%</t>
  </si>
  <si>
    <t>75.7%</t>
  </si>
  <si>
    <t>41.1%</t>
  </si>
  <si>
    <t>70.7%</t>
  </si>
  <si>
    <t>65.2%</t>
  </si>
  <si>
    <t>72.0%</t>
  </si>
  <si>
    <t>68.3%</t>
  </si>
  <si>
    <t>83.7%</t>
  </si>
  <si>
    <t>40.0%</t>
  </si>
  <si>
    <t>88.5%</t>
  </si>
  <si>
    <t>51.6%</t>
  </si>
  <si>
    <t>90.1%</t>
  </si>
  <si>
    <t>67.9%</t>
  </si>
  <si>
    <t>45.7%</t>
  </si>
  <si>
    <t>87.4%</t>
  </si>
  <si>
    <t>43.1%</t>
  </si>
  <si>
    <t>32.9%</t>
  </si>
  <si>
    <t>90.4%</t>
  </si>
  <si>
    <t>Bloomberg, Google</t>
  </si>
  <si>
    <t>77.8%</t>
  </si>
  <si>
    <t>34.3%</t>
  </si>
  <si>
    <t>50.7%</t>
  </si>
  <si>
    <t>Amazon, Bloomberg, Google, Meta, Oracle</t>
  </si>
  <si>
    <t>69.4%</t>
  </si>
  <si>
    <t>45.4%</t>
  </si>
  <si>
    <t>71.5%</t>
  </si>
  <si>
    <t>53.9%</t>
  </si>
  <si>
    <t>36.3%</t>
  </si>
  <si>
    <t>Amazon, Goldman Sacs, Google, Meta</t>
  </si>
  <si>
    <t>81.0%</t>
  </si>
  <si>
    <t>Google, Linkedin, Salesforce</t>
  </si>
  <si>
    <t>75.2%</t>
  </si>
  <si>
    <t>39.1%</t>
  </si>
  <si>
    <t>90.2%</t>
  </si>
  <si>
    <t>44.5%</t>
  </si>
  <si>
    <t>Amazon, Bloomberg, Goldman Sacs, Google, Meta, Microsoft, Salesforce, Uber</t>
  </si>
  <si>
    <t>62.1%</t>
  </si>
  <si>
    <t>94.5%</t>
  </si>
  <si>
    <t>55.2%</t>
  </si>
  <si>
    <t>42.9%</t>
  </si>
  <si>
    <t>62.6%</t>
  </si>
  <si>
    <t>87.7%</t>
  </si>
  <si>
    <t>Amazon, Google, Meta, Oracle, Salesforce</t>
  </si>
  <si>
    <t>65.0%</t>
  </si>
  <si>
    <t>Amazon, Google, Meta, Oracle</t>
  </si>
  <si>
    <t>84.3%</t>
  </si>
  <si>
    <t>34.1%</t>
  </si>
  <si>
    <t>57.2%</t>
  </si>
  <si>
    <t>60.8%</t>
  </si>
  <si>
    <t>75.8%</t>
  </si>
  <si>
    <t>74.8%</t>
  </si>
  <si>
    <t>86.1%</t>
  </si>
  <si>
    <t>65.7%</t>
  </si>
  <si>
    <t>77.2%</t>
  </si>
  <si>
    <t>49.9%</t>
  </si>
  <si>
    <t>71.3%</t>
  </si>
  <si>
    <t>58.3%</t>
  </si>
  <si>
    <t>88.8%</t>
  </si>
  <si>
    <t>74.5%</t>
  </si>
  <si>
    <t>42.3%</t>
  </si>
  <si>
    <t>72.5%</t>
  </si>
  <si>
    <t>Amazon, Atlassian, Bloomberg, Google, Linkedin, Meta, Microsoft</t>
  </si>
  <si>
    <t>51.4%</t>
  </si>
  <si>
    <t>77.1%</t>
  </si>
  <si>
    <t>21.4%</t>
  </si>
  <si>
    <t>60.6%</t>
  </si>
  <si>
    <t>84.1%</t>
  </si>
  <si>
    <t>69.0%</t>
  </si>
  <si>
    <t>73.0%</t>
  </si>
  <si>
    <t>69.7%</t>
  </si>
  <si>
    <t>70.1%</t>
  </si>
  <si>
    <t>65.1%</t>
  </si>
  <si>
    <t>60.2%</t>
  </si>
  <si>
    <t>51.7%</t>
  </si>
  <si>
    <t>20.7%</t>
  </si>
  <si>
    <t>72.3%</t>
  </si>
  <si>
    <t>87.9%</t>
  </si>
  <si>
    <t>84.6%</t>
  </si>
  <si>
    <t>75.4%</t>
  </si>
  <si>
    <t>39.5%</t>
  </si>
  <si>
    <t>83.8%</t>
  </si>
  <si>
    <t>27.1%</t>
  </si>
  <si>
    <t>64.5%</t>
  </si>
  <si>
    <t>Adobe, Amazon, Apple, Atlassian, Bloomberg, Google, Linkedin, Meta, Microsoft, Oracle</t>
  </si>
  <si>
    <t>70.2%</t>
  </si>
  <si>
    <t>59.0%</t>
  </si>
  <si>
    <t>69.5%</t>
  </si>
  <si>
    <t>Amazon, Apple, Google, Microsoft</t>
  </si>
  <si>
    <t>76.5%</t>
  </si>
  <si>
    <t>36.9%</t>
  </si>
  <si>
    <t>38.7%</t>
  </si>
  <si>
    <t>52.6%</t>
  </si>
  <si>
    <t>Amazon, Bloomberg, Google, Microsoft, Oracle, Salesforce</t>
  </si>
  <si>
    <t>65.9%</t>
  </si>
  <si>
    <t>80.9%</t>
  </si>
  <si>
    <t>61.3%</t>
  </si>
  <si>
    <t>40.7%</t>
  </si>
  <si>
    <t>39.7%</t>
  </si>
  <si>
    <t>29.4%</t>
  </si>
  <si>
    <t>57.9%</t>
  </si>
  <si>
    <t>82.2%</t>
  </si>
  <si>
    <t>79.2%</t>
  </si>
  <si>
    <t>32.2%</t>
  </si>
  <si>
    <t>69.3%</t>
  </si>
  <si>
    <t>58.5%</t>
  </si>
  <si>
    <t>78.5%</t>
  </si>
  <si>
    <t>79.0%</t>
  </si>
  <si>
    <t>Google, Meta, Uber</t>
  </si>
  <si>
    <t>57.0%</t>
  </si>
  <si>
    <t>85.6%</t>
  </si>
  <si>
    <t>34.8%</t>
  </si>
  <si>
    <t>86.2%</t>
  </si>
  <si>
    <t>81.2%</t>
  </si>
  <si>
    <t>61.5%</t>
  </si>
  <si>
    <t>71.6%</t>
  </si>
  <si>
    <t>67.6%</t>
  </si>
  <si>
    <t>83.2%</t>
  </si>
  <si>
    <t>41.8%</t>
  </si>
  <si>
    <t>58.2%</t>
  </si>
  <si>
    <t>79.5%</t>
  </si>
  <si>
    <t>Amazon, Google, Linkedin, Meta, Oracle</t>
  </si>
  <si>
    <t>82.6%</t>
  </si>
  <si>
    <t>53.6%</t>
  </si>
  <si>
    <t>70.4%</t>
  </si>
  <si>
    <t>Bloomberg, Google, Oracle, Salesforce</t>
  </si>
  <si>
    <t>70.9%</t>
  </si>
  <si>
    <t>Google, Linkedin, Uber</t>
  </si>
  <si>
    <t>74.3%</t>
  </si>
  <si>
    <t>86.6%</t>
  </si>
  <si>
    <t>68.8%</t>
  </si>
  <si>
    <t>52.4%</t>
  </si>
  <si>
    <t>66.3%</t>
  </si>
  <si>
    <t>73.2%</t>
  </si>
  <si>
    <t>Amazon, Goldman Sacs, Google, Microsoft</t>
  </si>
  <si>
    <t>71.4%</t>
  </si>
  <si>
    <t>Amazon, Bloomberg, Goldman Sacs, Google, Meta, Oracle, Salesforce</t>
  </si>
  <si>
    <t>86.7%</t>
  </si>
  <si>
    <t>28.5%</t>
  </si>
  <si>
    <t>64.1%</t>
  </si>
  <si>
    <t>Amazon, Goldman Sacs, Google</t>
  </si>
  <si>
    <t>Amazon, Google, Oracle</t>
  </si>
  <si>
    <t>63.6%</t>
  </si>
  <si>
    <t>23.6%</t>
  </si>
  <si>
    <t>60.4%</t>
  </si>
  <si>
    <t>20.3%</t>
  </si>
  <si>
    <t>45.3%</t>
  </si>
  <si>
    <t>Bloomberg, Google, Salesforce</t>
  </si>
  <si>
    <t>78.4%</t>
  </si>
  <si>
    <t>34.2%</t>
  </si>
  <si>
    <t>31.2%</t>
  </si>
  <si>
    <t>69.8%</t>
  </si>
  <si>
    <t>77.6%</t>
  </si>
  <si>
    <t>74.7%</t>
  </si>
  <si>
    <t>87.1%</t>
  </si>
  <si>
    <t>88.0%</t>
  </si>
  <si>
    <t>34.0%</t>
  </si>
  <si>
    <t>85.4%</t>
  </si>
  <si>
    <t>21.9%</t>
  </si>
  <si>
    <t>32.8%</t>
  </si>
  <si>
    <t>Google, Oracle</t>
  </si>
  <si>
    <t>79.7%</t>
  </si>
  <si>
    <t>43.4%</t>
  </si>
  <si>
    <t>35.4%</t>
  </si>
  <si>
    <t>35.7%</t>
  </si>
  <si>
    <t>66.6%</t>
  </si>
  <si>
    <t>84.9%</t>
  </si>
  <si>
    <t>44.6%</t>
  </si>
  <si>
    <t>73.5%</t>
  </si>
  <si>
    <t>59.5%</t>
  </si>
  <si>
    <t>61.6%</t>
  </si>
  <si>
    <t>Goldman Sacs, Google</t>
  </si>
  <si>
    <t>Goldman Sacs, Google, Uber</t>
  </si>
  <si>
    <t>33.6%</t>
  </si>
  <si>
    <t>81.8%</t>
  </si>
  <si>
    <t>14.3%</t>
  </si>
  <si>
    <t>44.4%</t>
  </si>
  <si>
    <t>Google, Salesforce</t>
  </si>
  <si>
    <t>31.5%</t>
  </si>
  <si>
    <t>50.3%</t>
  </si>
  <si>
    <t>27.0%</t>
  </si>
  <si>
    <t>90.8%</t>
  </si>
  <si>
    <t>50.8%</t>
  </si>
  <si>
    <t>78.0%</t>
  </si>
  <si>
    <t>Amazon, Bloomberg, Goldman Sacs, Google, Microsoft</t>
  </si>
  <si>
    <t>70.3%</t>
  </si>
  <si>
    <t>66.0%</t>
  </si>
  <si>
    <t>39.3%</t>
  </si>
  <si>
    <t>39.0%</t>
  </si>
  <si>
    <t>29.3%</t>
  </si>
  <si>
    <t>80.1%</t>
  </si>
  <si>
    <t>83.5%</t>
  </si>
  <si>
    <t>Bloomberg, Google, Meta, Oracle</t>
  </si>
  <si>
    <t>85.8%</t>
  </si>
  <si>
    <t>85.1%</t>
  </si>
  <si>
    <t>63.2%</t>
  </si>
  <si>
    <t>49.7%</t>
  </si>
  <si>
    <t>79.4%</t>
  </si>
  <si>
    <t>83.3%</t>
  </si>
  <si>
    <t>51.5%</t>
  </si>
  <si>
    <t>57.3%</t>
  </si>
  <si>
    <t>79.9%</t>
  </si>
  <si>
    <t>84.8%</t>
  </si>
  <si>
    <t>42.1%</t>
  </si>
  <si>
    <t>88.3%</t>
  </si>
  <si>
    <t>81.3%</t>
  </si>
  <si>
    <t>74.9%</t>
  </si>
  <si>
    <t>76.1%</t>
  </si>
  <si>
    <t>40.3%</t>
  </si>
  <si>
    <t>89.9%</t>
  </si>
  <si>
    <t>79.3%</t>
  </si>
  <si>
    <t>Apple, Google, Meta</t>
  </si>
  <si>
    <t>85.9%</t>
  </si>
  <si>
    <t>Amazon, Google, Meta, Microsoft, Salesforce, Uber, Walmart</t>
  </si>
  <si>
    <t>83.1%</t>
  </si>
  <si>
    <t>Google, Meta, Walmart</t>
  </si>
  <si>
    <t>82.3%</t>
  </si>
  <si>
    <t>58.8%</t>
  </si>
  <si>
    <t>68.5%</t>
  </si>
  <si>
    <t>18.0%</t>
  </si>
  <si>
    <t>32.5%</t>
  </si>
  <si>
    <t>35.1%</t>
  </si>
  <si>
    <t>32.4%</t>
  </si>
  <si>
    <t>70.8%</t>
  </si>
  <si>
    <t>38.8%</t>
  </si>
  <si>
    <t>53.8%</t>
  </si>
  <si>
    <t>85.3%</t>
  </si>
  <si>
    <t>63.3%</t>
  </si>
  <si>
    <t>Atlassian, Google</t>
  </si>
  <si>
    <t>Apple, Google</t>
  </si>
  <si>
    <t>50.1%</t>
  </si>
  <si>
    <t>Atlassian, Bloomberg, Google</t>
  </si>
  <si>
    <t>82.9%</t>
  </si>
  <si>
    <t>44.3%</t>
  </si>
  <si>
    <t>64.8%</t>
  </si>
  <si>
    <t>32.0%</t>
  </si>
  <si>
    <t>68.6%</t>
  </si>
  <si>
    <t>77.7%</t>
  </si>
  <si>
    <t>37.7%</t>
  </si>
  <si>
    <t>80.6%</t>
  </si>
  <si>
    <t>33.3%</t>
  </si>
  <si>
    <t>71.9%</t>
  </si>
  <si>
    <t>26.9%</t>
  </si>
  <si>
    <t>13.6%</t>
  </si>
  <si>
    <t>23.0%</t>
  </si>
  <si>
    <t>82.5%</t>
  </si>
  <si>
    <t>81.4%</t>
  </si>
  <si>
    <t>24.0%</t>
  </si>
  <si>
    <t>72.2%</t>
  </si>
  <si>
    <t>24.7%</t>
  </si>
  <si>
    <t>72.6%</t>
  </si>
  <si>
    <t>34.4%</t>
  </si>
  <si>
    <t>26.7%</t>
  </si>
  <si>
    <t>28.9%</t>
  </si>
  <si>
    <t>35.0%</t>
  </si>
  <si>
    <t>Amazon, Apple, Goldman Sacs, Google, Oracle</t>
  </si>
  <si>
    <t>48.7%</t>
  </si>
  <si>
    <t>Amazon, Google, Linkedin, Meta, Microsoft</t>
  </si>
  <si>
    <t>46.3%</t>
  </si>
  <si>
    <t>74.0%</t>
  </si>
  <si>
    <t>47.9%</t>
  </si>
  <si>
    <t>62.3%</t>
  </si>
  <si>
    <t>67.3%</t>
  </si>
  <si>
    <t>89.5%</t>
  </si>
  <si>
    <t>50.6%</t>
  </si>
  <si>
    <t>81.1%</t>
  </si>
  <si>
    <t>Goldman Sacs</t>
  </si>
  <si>
    <t>Apple, Goldman Sacs</t>
  </si>
  <si>
    <t>Amazon, Bloomberg, Goldman Sacs, Meta, Salesforce</t>
  </si>
  <si>
    <t>82.0%</t>
  </si>
  <si>
    <t>Bloomberg, Goldman Sacs</t>
  </si>
  <si>
    <t>Amazon, Bloomberg, Goldman Sacs, Microsoft</t>
  </si>
  <si>
    <t>50.4%</t>
  </si>
  <si>
    <t>Goldman Sacs, Meta</t>
  </si>
  <si>
    <t>Amazon, Goldman Sacs, Meta, Microsoft</t>
  </si>
  <si>
    <t>Amazon, Bloomberg, Goldman Sacs, Uber</t>
  </si>
  <si>
    <t>Amazon, Goldman Sacs, Meta</t>
  </si>
  <si>
    <t>Goldman Sacs, Microsoft</t>
  </si>
  <si>
    <t>86.0%</t>
  </si>
  <si>
    <t>Amazon, Goldman Sacs</t>
  </si>
  <si>
    <t>Amazon, Bloomberg, Goldman Sacs, Meta, Oracle, Walmart</t>
  </si>
  <si>
    <t>36.1%</t>
  </si>
  <si>
    <t>31.9%</t>
  </si>
  <si>
    <t>60.1%</t>
  </si>
  <si>
    <t>56.5%</t>
  </si>
  <si>
    <t>Amazon, Meta, Microsoft</t>
  </si>
  <si>
    <t>Amazon, Oracle</t>
  </si>
  <si>
    <t>Amazon, Bloomberg, Linkedin, Meta, Microsoft</t>
  </si>
  <si>
    <t>28.2%</t>
  </si>
  <si>
    <t>Amazon</t>
  </si>
  <si>
    <t>Amazon, Microsoft</t>
  </si>
  <si>
    <t>Amazon, Apple, Meta, Microsoft</t>
  </si>
  <si>
    <t>Amazon, Bloomberg, Salesforce</t>
  </si>
  <si>
    <t>Amazon, Bloomberg</t>
  </si>
  <si>
    <t>Amazon, Meta, Uber</t>
  </si>
  <si>
    <t>34.5%</t>
  </si>
  <si>
    <t>Amazon, Meta</t>
  </si>
  <si>
    <t>48.1%</t>
  </si>
  <si>
    <t>Amazon, Uber</t>
  </si>
  <si>
    <t>71.8%</t>
  </si>
  <si>
    <t>Amazon, Bloomberg, Meta</t>
  </si>
  <si>
    <t>Amazon, Bloomberg, Meta, Salesforce</t>
  </si>
  <si>
    <t>Amazon, Apple, Microsoft</t>
  </si>
  <si>
    <t>31.6%</t>
  </si>
  <si>
    <t>14.5%</t>
  </si>
  <si>
    <t>Amazon, Apple, Meta</t>
  </si>
  <si>
    <t>46.5%</t>
  </si>
  <si>
    <t>41.6%</t>
  </si>
  <si>
    <t>36.8%</t>
  </si>
  <si>
    <t>72.8%</t>
  </si>
  <si>
    <t>69.9%</t>
  </si>
  <si>
    <t>Amazon, Bloomberg, Linkedin, Meta</t>
  </si>
  <si>
    <t>Amazon, Microsoft, Uber</t>
  </si>
  <si>
    <t>Amazon, Linkedin</t>
  </si>
  <si>
    <t>63.9%</t>
  </si>
  <si>
    <t>Amazon, Bloomberg, Meta, Microsoft</t>
  </si>
  <si>
    <t>71.0%</t>
  </si>
  <si>
    <t>21.3%</t>
  </si>
  <si>
    <t>26.4%</t>
  </si>
  <si>
    <t>41.2%</t>
  </si>
  <si>
    <t>55.9%</t>
  </si>
  <si>
    <t>Amazon, Bloomberg, Microsoft</t>
  </si>
  <si>
    <t>38.6%</t>
  </si>
  <si>
    <t>45.6%</t>
  </si>
  <si>
    <t>Amazon, Apple</t>
  </si>
  <si>
    <t>62.8%</t>
  </si>
  <si>
    <t>Amazon, Meta, Microsoft, Walmart</t>
  </si>
  <si>
    <t>33.9%</t>
  </si>
  <si>
    <t>20.0%</t>
  </si>
  <si>
    <t>57.7%</t>
  </si>
  <si>
    <t>21.7%</t>
  </si>
  <si>
    <t>83.0%</t>
  </si>
  <si>
    <t>Amazon, Linkedin, Meta, Walmart</t>
  </si>
  <si>
    <t>24.5%</t>
  </si>
  <si>
    <t>39.8%</t>
  </si>
  <si>
    <t>85.7%</t>
  </si>
  <si>
    <t>Adobe, Amazon</t>
  </si>
  <si>
    <t>17.9%</t>
  </si>
  <si>
    <t>60.3%</t>
  </si>
  <si>
    <t>19.5%</t>
  </si>
  <si>
    <t>73.4%</t>
  </si>
  <si>
    <t>87.6%</t>
  </si>
  <si>
    <t>Amazon, Salesforce</t>
  </si>
  <si>
    <t>Amazon, Atlassian</t>
  </si>
  <si>
    <t>53.0%</t>
  </si>
  <si>
    <t>53.7%</t>
  </si>
  <si>
    <t>33.8%</t>
  </si>
  <si>
    <t>Amazon, Atlassian, Meta</t>
  </si>
  <si>
    <t>32.3%</t>
  </si>
  <si>
    <t>76.6%</t>
  </si>
  <si>
    <t>Amazon, Bloomberg, Meta, Oracle</t>
  </si>
  <si>
    <t>80.2%</t>
  </si>
  <si>
    <t>35.3%</t>
  </si>
  <si>
    <t>Meta, Microsoft, Oracle</t>
  </si>
  <si>
    <t>Microsoft, Uber</t>
  </si>
  <si>
    <t>27.7%</t>
  </si>
  <si>
    <t>Apple, Meta, Microsoft</t>
  </si>
  <si>
    <t>17.6%</t>
  </si>
  <si>
    <t>Microsoft</t>
  </si>
  <si>
    <t>84.2%</t>
  </si>
  <si>
    <t>Bloomberg, Meta, Microsoft</t>
  </si>
  <si>
    <t>Meta, Microsoft</t>
  </si>
  <si>
    <t>Bloomberg, Microsoft</t>
  </si>
  <si>
    <t>87.2%</t>
  </si>
  <si>
    <t>87.5%</t>
  </si>
  <si>
    <t>Apple</t>
  </si>
  <si>
    <t>Linkedin</t>
  </si>
  <si>
    <t>Bloomberg, Linkedin</t>
  </si>
  <si>
    <t>Linkedin, Meta</t>
  </si>
  <si>
    <t>Linkedin, Salesforce</t>
  </si>
  <si>
    <t>30.4%</t>
  </si>
  <si>
    <t>30.2%</t>
  </si>
  <si>
    <t>Uber</t>
  </si>
  <si>
    <t>Bloomberg, Uber</t>
  </si>
  <si>
    <t>16.1%</t>
  </si>
  <si>
    <t>Meta, Uber</t>
  </si>
  <si>
    <t>Bloomberg, Meta, Uber</t>
  </si>
  <si>
    <t>37.5%</t>
  </si>
  <si>
    <t>Uber, Walmart</t>
  </si>
  <si>
    <t>47.6%</t>
  </si>
  <si>
    <t>Meta</t>
  </si>
  <si>
    <t>68.4%</t>
  </si>
  <si>
    <t>86.3%</t>
  </si>
  <si>
    <t>69.2%</t>
  </si>
  <si>
    <t>Bloomberg, Meta</t>
  </si>
  <si>
    <t>Meta, Oracle</t>
  </si>
  <si>
    <t>56.3%</t>
  </si>
  <si>
    <t>46.0%</t>
  </si>
  <si>
    <t>91.8%</t>
  </si>
  <si>
    <t>83.4%</t>
  </si>
  <si>
    <t>21.0%</t>
  </si>
  <si>
    <t>30.7%</t>
  </si>
  <si>
    <t>29.8%</t>
  </si>
  <si>
    <t>43.0%</t>
  </si>
  <si>
    <t>Oracle</t>
  </si>
  <si>
    <t>47.7%</t>
  </si>
  <si>
    <t>Bloomberg</t>
  </si>
  <si>
    <t>27.9%</t>
  </si>
  <si>
    <t>15.7%</t>
  </si>
  <si>
    <t>81.6%</t>
  </si>
  <si>
    <t>Adobe</t>
  </si>
  <si>
    <t>Salesforce</t>
  </si>
  <si>
    <t>30.5%</t>
  </si>
  <si>
    <t>Atlassian</t>
  </si>
  <si>
    <t>Visible Rows: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</si>
</sst>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142876</xdr:rowOff>
        </xdr:from>
        <xdr:to>
          <xdr:col>5</xdr:col>
          <xdr:colOff>95249</xdr:colOff>
          <xdr:row>2</xdr:row>
          <xdr:rowOff>9526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</xdr:row>
          <xdr:rowOff>142876</xdr:rowOff>
        </xdr:from>
        <xdr:ext cx="742949" cy="228600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1832158-9D11-4E24-8CD8-DBAD371D1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</xdr:row>
          <xdr:rowOff>142876</xdr:rowOff>
        </xdr:from>
        <xdr:ext cx="742949" cy="22860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27AB804-C573-46EC-B224-98E3A50C4D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</xdr:row>
          <xdr:rowOff>142876</xdr:rowOff>
        </xdr:from>
        <xdr:ext cx="742949" cy="22860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56A7BE3-4042-4901-A821-0852F3BED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</xdr:row>
          <xdr:rowOff>142876</xdr:rowOff>
        </xdr:from>
        <xdr:ext cx="742949" cy="22860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FE2CF8A-674B-4580-926E-D1EC09BD1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</xdr:row>
          <xdr:rowOff>142876</xdr:rowOff>
        </xdr:from>
        <xdr:ext cx="742949" cy="22860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3694856-1033-450F-B5E3-9777B3628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</xdr:row>
          <xdr:rowOff>142876</xdr:rowOff>
        </xdr:from>
        <xdr:ext cx="742949" cy="22860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D2AB4B6-7A6E-486C-9123-1874D361EF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</xdr:row>
          <xdr:rowOff>142876</xdr:rowOff>
        </xdr:from>
        <xdr:ext cx="742949" cy="22860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013EF4C-7EFC-4744-896D-4997B28CF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</xdr:row>
          <xdr:rowOff>142876</xdr:rowOff>
        </xdr:from>
        <xdr:ext cx="742949" cy="22860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6133E85-C7E6-4560-9646-69327D948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</xdr:row>
          <xdr:rowOff>142876</xdr:rowOff>
        </xdr:from>
        <xdr:ext cx="742949" cy="22860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FCF32E3-7112-42EA-81E1-C8C4D3CF5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</xdr:row>
          <xdr:rowOff>142876</xdr:rowOff>
        </xdr:from>
        <xdr:ext cx="742949" cy="22860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D13A20E-4692-44C5-9043-62DAD7148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</xdr:row>
          <xdr:rowOff>142876</xdr:rowOff>
        </xdr:from>
        <xdr:ext cx="742949" cy="22860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EA3B7C9-D0BE-4008-9004-5102414A6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</xdr:row>
          <xdr:rowOff>142876</xdr:rowOff>
        </xdr:from>
        <xdr:ext cx="742949" cy="22860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AF46923-DF7A-49EC-9EAB-F1E88690A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</xdr:row>
          <xdr:rowOff>142876</xdr:rowOff>
        </xdr:from>
        <xdr:ext cx="742949" cy="22860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B6970C77-AFE1-42D8-8560-478EAB649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</xdr:row>
          <xdr:rowOff>142876</xdr:rowOff>
        </xdr:from>
        <xdr:ext cx="742949" cy="22860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0854534-AE30-4D35-B456-FD01FE3C4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</xdr:row>
          <xdr:rowOff>142876</xdr:rowOff>
        </xdr:from>
        <xdr:ext cx="742949" cy="2286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ADB1FA5-CD07-4927-A7F4-A1818D8E4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</xdr:row>
          <xdr:rowOff>142876</xdr:rowOff>
        </xdr:from>
        <xdr:ext cx="742949" cy="2286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19B15AF7-BD07-4801-B0C4-DAEE5F72A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</xdr:row>
          <xdr:rowOff>142876</xdr:rowOff>
        </xdr:from>
        <xdr:ext cx="742949" cy="2286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C9844754-A5C6-4A9C-9C59-410CD0563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</xdr:row>
          <xdr:rowOff>142876</xdr:rowOff>
        </xdr:from>
        <xdr:ext cx="742949" cy="22860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21A568A2-68A3-4750-BC35-E9BA0C349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</xdr:row>
          <xdr:rowOff>142876</xdr:rowOff>
        </xdr:from>
        <xdr:ext cx="742949" cy="22860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15B94BB6-EB57-411B-9898-DF0B70A842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</xdr:row>
          <xdr:rowOff>142876</xdr:rowOff>
        </xdr:from>
        <xdr:ext cx="742949" cy="22860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E474D01-61EB-495E-B1E6-EC23B404D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</xdr:row>
          <xdr:rowOff>142876</xdr:rowOff>
        </xdr:from>
        <xdr:ext cx="742949" cy="22860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FE509D71-8795-4508-82D7-91E36108D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</xdr:row>
          <xdr:rowOff>142876</xdr:rowOff>
        </xdr:from>
        <xdr:ext cx="742949" cy="22860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72EE0B9A-4953-4973-B8D5-FC4C49589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</xdr:row>
          <xdr:rowOff>142876</xdr:rowOff>
        </xdr:from>
        <xdr:ext cx="742949" cy="22860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90130B3-6F30-437F-ACAD-D1EFD1052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</xdr:row>
          <xdr:rowOff>142876</xdr:rowOff>
        </xdr:from>
        <xdr:ext cx="742949" cy="22860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A7359B74-712A-4563-BE50-F1E232A59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</xdr:row>
          <xdr:rowOff>142876</xdr:rowOff>
        </xdr:from>
        <xdr:ext cx="742949" cy="22860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81ABD3C-6896-4C69-98F8-CA696A7ED5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</xdr:row>
          <xdr:rowOff>142876</xdr:rowOff>
        </xdr:from>
        <xdr:ext cx="742949" cy="22860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F2E5E59-22E0-49AC-831E-F210FA47F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</xdr:row>
          <xdr:rowOff>142876</xdr:rowOff>
        </xdr:from>
        <xdr:ext cx="742949" cy="22860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0FE8D43-2131-46D1-926C-9647ED993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</xdr:row>
          <xdr:rowOff>142876</xdr:rowOff>
        </xdr:from>
        <xdr:ext cx="742949" cy="22860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134EF068-EEB7-4556-BE7C-BA3A0C5F0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</xdr:row>
          <xdr:rowOff>142876</xdr:rowOff>
        </xdr:from>
        <xdr:ext cx="742949" cy="22860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410B56E7-649A-4A42-995C-3F93BE6C3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</xdr:row>
          <xdr:rowOff>142876</xdr:rowOff>
        </xdr:from>
        <xdr:ext cx="742949" cy="22860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97981FED-4ECC-4CE3-BDCB-35D861A5F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</xdr:row>
          <xdr:rowOff>142876</xdr:rowOff>
        </xdr:from>
        <xdr:ext cx="742949" cy="22860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EFBE0258-2419-46CA-8EB8-9BB581DFB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</xdr:row>
          <xdr:rowOff>142876</xdr:rowOff>
        </xdr:from>
        <xdr:ext cx="742949" cy="22860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7AF06E39-8FA5-48F3-A9F9-118E91D2B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</xdr:row>
          <xdr:rowOff>142876</xdr:rowOff>
        </xdr:from>
        <xdr:ext cx="742949" cy="22860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65D2218-96CB-459B-A9AB-187721F35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</xdr:row>
          <xdr:rowOff>142876</xdr:rowOff>
        </xdr:from>
        <xdr:ext cx="742949" cy="22860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F179DF11-F684-4B07-9391-285E9FBEB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</xdr:row>
          <xdr:rowOff>142876</xdr:rowOff>
        </xdr:from>
        <xdr:ext cx="742949" cy="22860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A5FD480E-5670-4B0D-9B3C-FC7087B4AC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</xdr:row>
          <xdr:rowOff>142876</xdr:rowOff>
        </xdr:from>
        <xdr:ext cx="742949" cy="22860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7668A95-7A37-48A0-9D0F-D45E90A96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</xdr:row>
          <xdr:rowOff>142876</xdr:rowOff>
        </xdr:from>
        <xdr:ext cx="742949" cy="22860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A65F1160-A186-45C0-B952-BD2EE9411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</xdr:row>
          <xdr:rowOff>142876</xdr:rowOff>
        </xdr:from>
        <xdr:ext cx="742949" cy="2286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3DBDEFCC-1914-4493-B26B-A7B005A32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</xdr:row>
          <xdr:rowOff>142876</xdr:rowOff>
        </xdr:from>
        <xdr:ext cx="742949" cy="2286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27E5865-46FF-46E8-8F76-CF7EECA61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</xdr:row>
          <xdr:rowOff>142876</xdr:rowOff>
        </xdr:from>
        <xdr:ext cx="742949" cy="2286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E9380453-519C-41EA-B417-8485FB6F5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</xdr:row>
          <xdr:rowOff>142876</xdr:rowOff>
        </xdr:from>
        <xdr:ext cx="742949" cy="22860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57C4E2E-7898-4B1F-BCCC-A55259B19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</xdr:row>
          <xdr:rowOff>142876</xdr:rowOff>
        </xdr:from>
        <xdr:ext cx="742949" cy="22860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3E5E24EF-A656-4BC2-86FB-19AB1FE762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</xdr:row>
          <xdr:rowOff>142876</xdr:rowOff>
        </xdr:from>
        <xdr:ext cx="742949" cy="22860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B0BAFAC-2C76-41CA-A4C3-60BE18BE5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</xdr:row>
          <xdr:rowOff>142876</xdr:rowOff>
        </xdr:from>
        <xdr:ext cx="742949" cy="22860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B634A900-A637-4516-92F5-68DC87E73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</xdr:row>
          <xdr:rowOff>142876</xdr:rowOff>
        </xdr:from>
        <xdr:ext cx="742949" cy="22860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40D9341-5677-4459-8F0C-1518614FC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</xdr:row>
          <xdr:rowOff>142876</xdr:rowOff>
        </xdr:from>
        <xdr:ext cx="742949" cy="22860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B64C59D-0C63-4536-AD7D-9514D6005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</xdr:row>
          <xdr:rowOff>142876</xdr:rowOff>
        </xdr:from>
        <xdr:ext cx="742949" cy="22860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3F9EF74F-1006-48AD-B04C-B7BA53629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</xdr:row>
          <xdr:rowOff>142876</xdr:rowOff>
        </xdr:from>
        <xdr:ext cx="742949" cy="22860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F9B9A144-90D2-40BE-BFEE-9F2AD4755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</xdr:row>
          <xdr:rowOff>142876</xdr:rowOff>
        </xdr:from>
        <xdr:ext cx="742949" cy="22860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E90EE169-A610-4BAD-9ACD-ABDA8650F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</xdr:row>
          <xdr:rowOff>142876</xdr:rowOff>
        </xdr:from>
        <xdr:ext cx="742949" cy="22860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92639E-41E1-47C0-87CE-427BB0DA8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</xdr:row>
          <xdr:rowOff>142876</xdr:rowOff>
        </xdr:from>
        <xdr:ext cx="742949" cy="22860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71B2A18C-8D66-47D0-83C5-44FDD0301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</xdr:row>
          <xdr:rowOff>142876</xdr:rowOff>
        </xdr:from>
        <xdr:ext cx="742949" cy="22860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5EFAFDB-1B47-40F9-B0D7-4B1E892777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</xdr:row>
          <xdr:rowOff>142876</xdr:rowOff>
        </xdr:from>
        <xdr:ext cx="742949" cy="22860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1B017CB-B79B-41B9-BC6A-01F17266D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</xdr:row>
          <xdr:rowOff>142876</xdr:rowOff>
        </xdr:from>
        <xdr:ext cx="742949" cy="22860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444E40F0-D3DF-4E58-AECB-AB9BA8E822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</xdr:row>
          <xdr:rowOff>142876</xdr:rowOff>
        </xdr:from>
        <xdr:ext cx="742949" cy="22860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FF0B6331-D608-4794-9764-F69363E2F2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</xdr:row>
          <xdr:rowOff>142876</xdr:rowOff>
        </xdr:from>
        <xdr:ext cx="742949" cy="22860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81157131-E327-4EEC-AC60-E0A88DABD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</xdr:row>
          <xdr:rowOff>142876</xdr:rowOff>
        </xdr:from>
        <xdr:ext cx="742949" cy="22860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FF197BDE-FBAF-4DFE-B640-3653B0217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</xdr:row>
          <xdr:rowOff>142876</xdr:rowOff>
        </xdr:from>
        <xdr:ext cx="742949" cy="22860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83ACBCF-1D34-419F-8EF8-D7C809903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</xdr:row>
          <xdr:rowOff>142876</xdr:rowOff>
        </xdr:from>
        <xdr:ext cx="742949" cy="22860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FD060D3A-DE74-46DD-B113-E421F110D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</xdr:row>
          <xdr:rowOff>142876</xdr:rowOff>
        </xdr:from>
        <xdr:ext cx="742949" cy="22860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2516661B-6D0A-46C6-8923-42A51A931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</xdr:row>
          <xdr:rowOff>142876</xdr:rowOff>
        </xdr:from>
        <xdr:ext cx="742949" cy="22860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E8A4F171-0F77-4404-AA34-0D49F30373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</xdr:row>
          <xdr:rowOff>142876</xdr:rowOff>
        </xdr:from>
        <xdr:ext cx="742949" cy="22860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747C5154-15F1-4378-990F-FC68ED69C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</xdr:row>
          <xdr:rowOff>142876</xdr:rowOff>
        </xdr:from>
        <xdr:ext cx="742949" cy="22860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E87FD18A-47D9-4B60-B23C-291BA2448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</xdr:row>
          <xdr:rowOff>142876</xdr:rowOff>
        </xdr:from>
        <xdr:ext cx="742949" cy="22860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469894CE-A5F8-43A4-89F6-1A0ADF6C4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</xdr:row>
          <xdr:rowOff>142876</xdr:rowOff>
        </xdr:from>
        <xdr:ext cx="742949" cy="22860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3D6F1D0A-4486-45F2-B436-4B54F1B62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</xdr:row>
          <xdr:rowOff>142876</xdr:rowOff>
        </xdr:from>
        <xdr:ext cx="742949" cy="22860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157851E4-DEA6-4F51-92BF-392BA6C430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</xdr:row>
          <xdr:rowOff>142876</xdr:rowOff>
        </xdr:from>
        <xdr:ext cx="742949" cy="22860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445B7C84-B3A8-4490-A6E4-8FD3C8DA9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</xdr:row>
          <xdr:rowOff>142876</xdr:rowOff>
        </xdr:from>
        <xdr:ext cx="742949" cy="22860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6E7E0B9-8C68-46BC-B6FC-5414722E1A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</xdr:row>
          <xdr:rowOff>142876</xdr:rowOff>
        </xdr:from>
        <xdr:ext cx="742949" cy="22860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6695005-327A-42CA-81B0-A6AE283CB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</xdr:row>
          <xdr:rowOff>142876</xdr:rowOff>
        </xdr:from>
        <xdr:ext cx="742949" cy="22860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FBC6F771-A44B-4A10-8875-21EEBE2704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</xdr:row>
          <xdr:rowOff>142876</xdr:rowOff>
        </xdr:from>
        <xdr:ext cx="742949" cy="22860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C06247ED-A2FB-4F7B-8AE3-A087E671F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</xdr:row>
          <xdr:rowOff>142876</xdr:rowOff>
        </xdr:from>
        <xdr:ext cx="742949" cy="22860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7A26E4AA-58E5-4DF4-BE85-B54C24B147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</xdr:row>
          <xdr:rowOff>142876</xdr:rowOff>
        </xdr:from>
        <xdr:ext cx="742949" cy="22860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C48DEAA6-5C49-44F1-8597-6EA913AEED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</xdr:row>
          <xdr:rowOff>142876</xdr:rowOff>
        </xdr:from>
        <xdr:ext cx="742949" cy="22860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266E3BC0-F231-4455-A73A-CF3F6EF953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</xdr:row>
          <xdr:rowOff>142876</xdr:rowOff>
        </xdr:from>
        <xdr:ext cx="742949" cy="22860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AD1452DA-D08B-48DD-A0B4-63BF6E39B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</xdr:row>
          <xdr:rowOff>142876</xdr:rowOff>
        </xdr:from>
        <xdr:ext cx="742949" cy="22860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5034946B-ECB8-4D05-9802-46935D184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</xdr:row>
          <xdr:rowOff>142876</xdr:rowOff>
        </xdr:from>
        <xdr:ext cx="742949" cy="22860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64073496-AC8E-414C-BBDD-EE9B82370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</xdr:row>
          <xdr:rowOff>142876</xdr:rowOff>
        </xdr:from>
        <xdr:ext cx="742949" cy="22860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C74A50F6-AD71-4E12-AF3B-6A6EDB7DA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</xdr:row>
          <xdr:rowOff>142876</xdr:rowOff>
        </xdr:from>
        <xdr:ext cx="742949" cy="22860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9E151341-173A-4816-963A-C804E58192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</xdr:row>
          <xdr:rowOff>142876</xdr:rowOff>
        </xdr:from>
        <xdr:ext cx="742949" cy="22860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CCBFA2F-2648-46C7-A06E-027487509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</xdr:row>
          <xdr:rowOff>142876</xdr:rowOff>
        </xdr:from>
        <xdr:ext cx="742949" cy="22860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E33F896F-79E7-45FE-AE47-DFC5ED36C6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</xdr:row>
          <xdr:rowOff>142876</xdr:rowOff>
        </xdr:from>
        <xdr:ext cx="742949" cy="22860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683BC2F8-D2A2-4999-84A6-F95D02682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</xdr:row>
          <xdr:rowOff>142876</xdr:rowOff>
        </xdr:from>
        <xdr:ext cx="742949" cy="22860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D00A69A7-209F-4234-9942-398086385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</xdr:row>
          <xdr:rowOff>142876</xdr:rowOff>
        </xdr:from>
        <xdr:ext cx="742949" cy="22860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10D11C5A-4225-4377-9E11-A91B286EC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</xdr:row>
          <xdr:rowOff>142876</xdr:rowOff>
        </xdr:from>
        <xdr:ext cx="742949" cy="22860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8E855420-561F-4C5C-B790-23562A8FE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</xdr:row>
          <xdr:rowOff>142876</xdr:rowOff>
        </xdr:from>
        <xdr:ext cx="742949" cy="22860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23D70C69-6999-496C-A689-F0405C9DB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</xdr:row>
          <xdr:rowOff>142876</xdr:rowOff>
        </xdr:from>
        <xdr:ext cx="742949" cy="22860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28BB0BFF-0101-47EC-9282-4A438AC6E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</xdr:row>
          <xdr:rowOff>142876</xdr:rowOff>
        </xdr:from>
        <xdr:ext cx="742949" cy="228600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CDB6693B-761B-4135-B989-B1F4E89D7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</xdr:row>
          <xdr:rowOff>142876</xdr:rowOff>
        </xdr:from>
        <xdr:ext cx="742949" cy="228600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37B50D75-2EFF-478E-8CA7-408A746F2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</xdr:row>
          <xdr:rowOff>142876</xdr:rowOff>
        </xdr:from>
        <xdr:ext cx="742949" cy="22860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5A806711-40A0-4FBE-8CC7-EE8724D5D2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</xdr:row>
          <xdr:rowOff>142876</xdr:rowOff>
        </xdr:from>
        <xdr:ext cx="742949" cy="22860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ADCC8AA0-2704-4281-B896-31FC430AA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</xdr:row>
          <xdr:rowOff>142876</xdr:rowOff>
        </xdr:from>
        <xdr:ext cx="742949" cy="22860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FB4C94DB-7DFB-4BC4-9213-6036745C4C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</xdr:row>
          <xdr:rowOff>142876</xdr:rowOff>
        </xdr:from>
        <xdr:ext cx="742949" cy="22860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7A77A44A-AF9B-4290-AC20-60D57D60F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</xdr:row>
          <xdr:rowOff>142876</xdr:rowOff>
        </xdr:from>
        <xdr:ext cx="742949" cy="22860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B26E5191-1FCA-4604-ABA4-24D8D8D48F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92</xdr:row>
          <xdr:rowOff>142876</xdr:rowOff>
        </xdr:from>
        <xdr:ext cx="742949" cy="22860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48103950-8E4F-497E-A3FA-B38FD671B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93</xdr:row>
          <xdr:rowOff>142876</xdr:rowOff>
        </xdr:from>
        <xdr:ext cx="742949" cy="22860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80509BA3-1FFE-44BC-BF35-B93D788919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94</xdr:row>
          <xdr:rowOff>142876</xdr:rowOff>
        </xdr:from>
        <xdr:ext cx="742949" cy="22860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9A41E95-DE77-4A78-98D8-0A8DDC6C2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95</xdr:row>
          <xdr:rowOff>142876</xdr:rowOff>
        </xdr:from>
        <xdr:ext cx="742949" cy="22860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4E23667A-4A02-435C-8735-D44501F1FD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96</xdr:row>
          <xdr:rowOff>142876</xdr:rowOff>
        </xdr:from>
        <xdr:ext cx="742949" cy="22860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A6965178-10DD-44BD-95F9-5403B9DDA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97</xdr:row>
          <xdr:rowOff>142876</xdr:rowOff>
        </xdr:from>
        <xdr:ext cx="742949" cy="228600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3FFF51BA-5945-4C7D-8AA1-1AF44D756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98</xdr:row>
          <xdr:rowOff>142876</xdr:rowOff>
        </xdr:from>
        <xdr:ext cx="742949" cy="228600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11D45C6D-9722-4F24-9578-357E9DCBD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99</xdr:row>
          <xdr:rowOff>142876</xdr:rowOff>
        </xdr:from>
        <xdr:ext cx="742949" cy="228600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F5996580-A3B0-4D1C-8EC1-D969F7780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100</xdr:row>
          <xdr:rowOff>142876</xdr:rowOff>
        </xdr:from>
        <xdr:ext cx="742949" cy="228600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7F2195-3175-435B-B3BA-5CE3CA926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101</xdr:row>
          <xdr:rowOff>142876</xdr:rowOff>
        </xdr:from>
        <xdr:ext cx="742949" cy="228600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D157BE82-405D-4546-882D-887724E8D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102</xdr:row>
          <xdr:rowOff>142876</xdr:rowOff>
        </xdr:from>
        <xdr:ext cx="742949" cy="228600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EFCD6629-BCA1-41EF-9916-C4B64A9DF6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103</xdr:row>
          <xdr:rowOff>142876</xdr:rowOff>
        </xdr:from>
        <xdr:ext cx="742949" cy="22860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180279ED-3550-49B6-B6EB-DE83E7292D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104</xdr:row>
          <xdr:rowOff>142876</xdr:rowOff>
        </xdr:from>
        <xdr:ext cx="742949" cy="228600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3D7FA120-5155-4ABD-93E9-D78EFFE50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105</xdr:row>
          <xdr:rowOff>142876</xdr:rowOff>
        </xdr:from>
        <xdr:ext cx="742949" cy="228600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9F4221-9C1C-46A9-B732-FB6EF15B1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106</xdr:row>
          <xdr:rowOff>142876</xdr:rowOff>
        </xdr:from>
        <xdr:ext cx="742949" cy="228600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D48A4E92-3E8F-4DE5-B186-1F9221961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107</xdr:row>
          <xdr:rowOff>142876</xdr:rowOff>
        </xdr:from>
        <xdr:ext cx="742949" cy="228600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63320F8E-9CD6-405E-B06A-044E9C7A1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108</xdr:row>
          <xdr:rowOff>142876</xdr:rowOff>
        </xdr:from>
        <xdr:ext cx="742949" cy="228600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BA255F2E-8DBF-4720-9015-7BB5E0A5D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109</xdr:row>
          <xdr:rowOff>142876</xdr:rowOff>
        </xdr:from>
        <xdr:ext cx="742949" cy="228600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135F2E1-FB2D-4D79-B39D-1F8FE4A66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110</xdr:row>
          <xdr:rowOff>142876</xdr:rowOff>
        </xdr:from>
        <xdr:ext cx="742949" cy="228600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FDE65D61-6EA1-412C-AB9B-7C0B18E1F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111</xdr:row>
          <xdr:rowOff>142876</xdr:rowOff>
        </xdr:from>
        <xdr:ext cx="742949" cy="228600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2EE68C79-51F1-4E51-9AA3-E50B40E45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112</xdr:row>
          <xdr:rowOff>142876</xdr:rowOff>
        </xdr:from>
        <xdr:ext cx="742949" cy="228600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4E844C2E-C7AB-4166-9914-CE858593A6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113</xdr:row>
          <xdr:rowOff>142876</xdr:rowOff>
        </xdr:from>
        <xdr:ext cx="742949" cy="228600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7AA4B303-16F2-4DDC-BCC1-EC669CEA3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114</xdr:row>
          <xdr:rowOff>142876</xdr:rowOff>
        </xdr:from>
        <xdr:ext cx="742949" cy="228600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4F5E9FA8-E742-449C-91BA-2094F85D5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115</xdr:row>
          <xdr:rowOff>142876</xdr:rowOff>
        </xdr:from>
        <xdr:ext cx="742949" cy="228600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26EAD461-6B2C-44EE-A580-0A7CE8E8D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116</xdr:row>
          <xdr:rowOff>142876</xdr:rowOff>
        </xdr:from>
        <xdr:ext cx="742949" cy="228600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72211CFB-ADDF-47D9-9B6E-E912F8C7F2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117</xdr:row>
          <xdr:rowOff>142876</xdr:rowOff>
        </xdr:from>
        <xdr:ext cx="742949" cy="228600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67740F96-6330-4698-893F-1B3EBD069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118</xdr:row>
          <xdr:rowOff>142876</xdr:rowOff>
        </xdr:from>
        <xdr:ext cx="742949" cy="228600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D6D27283-7B37-41F7-8D84-3298DC759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119</xdr:row>
          <xdr:rowOff>142876</xdr:rowOff>
        </xdr:from>
        <xdr:ext cx="742949" cy="228600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2C88ABD7-5444-46E0-9399-49612F28B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120</xdr:row>
          <xdr:rowOff>142876</xdr:rowOff>
        </xdr:from>
        <xdr:ext cx="742949" cy="228600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4BBEFAE-23F2-4976-93F6-65672A632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121</xdr:row>
          <xdr:rowOff>142876</xdr:rowOff>
        </xdr:from>
        <xdr:ext cx="742949" cy="228600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23E841B3-BFDF-4EE3-ABEC-F1EE77C6E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122</xdr:row>
          <xdr:rowOff>142876</xdr:rowOff>
        </xdr:from>
        <xdr:ext cx="742949" cy="22860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2DB880BE-31E0-403B-AB2A-CC89FA767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123</xdr:row>
          <xdr:rowOff>142876</xdr:rowOff>
        </xdr:from>
        <xdr:ext cx="742949" cy="22860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C9F3A912-8BDA-4CCB-98E8-1BECD10D5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124</xdr:row>
          <xdr:rowOff>142876</xdr:rowOff>
        </xdr:from>
        <xdr:ext cx="742949" cy="22860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BABA392F-414E-4FA2-BAC6-F51002D82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125</xdr:row>
          <xdr:rowOff>142876</xdr:rowOff>
        </xdr:from>
        <xdr:ext cx="742949" cy="22860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80B9E1D9-32E9-4C61-B071-EE21FB7EF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126</xdr:row>
          <xdr:rowOff>142876</xdr:rowOff>
        </xdr:from>
        <xdr:ext cx="742949" cy="228600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A953BF91-1D7E-4214-8842-D93B5B637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127</xdr:row>
          <xdr:rowOff>142876</xdr:rowOff>
        </xdr:from>
        <xdr:ext cx="742949" cy="228600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5CA5C0BF-D96A-4D25-95CB-FE35E2630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128</xdr:row>
          <xdr:rowOff>142876</xdr:rowOff>
        </xdr:from>
        <xdr:ext cx="742949" cy="228600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1E295928-6EB9-4404-B105-D6A1DEA38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129</xdr:row>
          <xdr:rowOff>142876</xdr:rowOff>
        </xdr:from>
        <xdr:ext cx="742949" cy="228600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52D0AE7F-EB2E-4E22-830F-98348B7D8E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130</xdr:row>
          <xdr:rowOff>142876</xdr:rowOff>
        </xdr:from>
        <xdr:ext cx="742949" cy="228600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497E733F-06A2-4917-9F33-2D2DC180E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131</xdr:row>
          <xdr:rowOff>142876</xdr:rowOff>
        </xdr:from>
        <xdr:ext cx="742949" cy="228600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D001814-5520-49C6-AD07-BFBAFE29D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132</xdr:row>
          <xdr:rowOff>142876</xdr:rowOff>
        </xdr:from>
        <xdr:ext cx="742949" cy="228600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4FC67C49-DDE9-468A-B10D-6A1B99BB7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133</xdr:row>
          <xdr:rowOff>142876</xdr:rowOff>
        </xdr:from>
        <xdr:ext cx="742949" cy="228600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63F8F647-D6D9-44C3-8CF9-C6D8D12F6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134</xdr:row>
          <xdr:rowOff>142876</xdr:rowOff>
        </xdr:from>
        <xdr:ext cx="742949" cy="228600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D97E008F-ABF1-4579-92C5-27B4619EB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135</xdr:row>
          <xdr:rowOff>142876</xdr:rowOff>
        </xdr:from>
        <xdr:ext cx="742949" cy="228600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F4AF530E-8BE5-42C7-BD5B-0089858E3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136</xdr:row>
          <xdr:rowOff>142876</xdr:rowOff>
        </xdr:from>
        <xdr:ext cx="742949" cy="228600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3109FC70-DF02-45F0-BF5D-C18147B61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137</xdr:row>
          <xdr:rowOff>142876</xdr:rowOff>
        </xdr:from>
        <xdr:ext cx="742949" cy="228600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A839E5F2-2A5B-42D6-8579-076A13196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138</xdr:row>
          <xdr:rowOff>142876</xdr:rowOff>
        </xdr:from>
        <xdr:ext cx="742949" cy="228600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D21F05E1-5A2F-4EC0-ADCA-1F38C8FAE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139</xdr:row>
          <xdr:rowOff>142876</xdr:rowOff>
        </xdr:from>
        <xdr:ext cx="742949" cy="228600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10800D1E-975C-4E95-BAE3-9FD528E75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140</xdr:row>
          <xdr:rowOff>142876</xdr:rowOff>
        </xdr:from>
        <xdr:ext cx="742949" cy="228600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DB274243-95E7-4B67-AA79-B8F7563B5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141</xdr:row>
          <xdr:rowOff>142876</xdr:rowOff>
        </xdr:from>
        <xdr:ext cx="742949" cy="228600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4663F17C-FE3B-46A5-9FB4-CC7CA2BBE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142</xdr:row>
          <xdr:rowOff>142876</xdr:rowOff>
        </xdr:from>
        <xdr:ext cx="742949" cy="228600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A7798EDB-79AA-482D-8051-AB0A3A833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143</xdr:row>
          <xdr:rowOff>142876</xdr:rowOff>
        </xdr:from>
        <xdr:ext cx="742949" cy="228600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ABB4A39B-F5D1-4FC7-85F9-B69831C6A9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144</xdr:row>
          <xdr:rowOff>142876</xdr:rowOff>
        </xdr:from>
        <xdr:ext cx="742949" cy="228600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8D9B5527-4686-4E13-8F53-CA3983BEA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145</xdr:row>
          <xdr:rowOff>142876</xdr:rowOff>
        </xdr:from>
        <xdr:ext cx="742949" cy="228600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608B803A-1C41-4D7B-BED0-BF81FAA42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146</xdr:row>
          <xdr:rowOff>142876</xdr:rowOff>
        </xdr:from>
        <xdr:ext cx="742949" cy="228600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D53A2D56-9F97-4BC3-A7CA-C53D60C51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147</xdr:row>
          <xdr:rowOff>142876</xdr:rowOff>
        </xdr:from>
        <xdr:ext cx="742949" cy="228600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FDA72368-CBCD-420A-B84C-F6E33C667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148</xdr:row>
          <xdr:rowOff>142876</xdr:rowOff>
        </xdr:from>
        <xdr:ext cx="742949" cy="228600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93797246-8AEA-45A1-BDFB-67ABF11152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149</xdr:row>
          <xdr:rowOff>142876</xdr:rowOff>
        </xdr:from>
        <xdr:ext cx="742949" cy="22860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70D216DF-EC94-4913-8CEE-E97A02B88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150</xdr:row>
          <xdr:rowOff>142876</xdr:rowOff>
        </xdr:from>
        <xdr:ext cx="742949" cy="22860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8E6BBF81-6AD1-4BF6-9F5E-6343B6E88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151</xdr:row>
          <xdr:rowOff>142876</xdr:rowOff>
        </xdr:from>
        <xdr:ext cx="742949" cy="22860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91976C32-75A5-42FC-9375-4E41EF835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152</xdr:row>
          <xdr:rowOff>142876</xdr:rowOff>
        </xdr:from>
        <xdr:ext cx="742949" cy="22860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3FA1F52B-6233-4681-9471-14D3799BE6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153</xdr:row>
          <xdr:rowOff>142876</xdr:rowOff>
        </xdr:from>
        <xdr:ext cx="742949" cy="22860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1BF21A0C-B4BC-4256-96E7-01CB9FBC4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154</xdr:row>
          <xdr:rowOff>142876</xdr:rowOff>
        </xdr:from>
        <xdr:ext cx="742949" cy="22860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F3356665-9C9B-4C18-9FEB-1A4A20BD4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155</xdr:row>
          <xdr:rowOff>142876</xdr:rowOff>
        </xdr:from>
        <xdr:ext cx="742949" cy="22860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E1A5D705-5E10-40D7-BC81-EFC50A768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156</xdr:row>
          <xdr:rowOff>142876</xdr:rowOff>
        </xdr:from>
        <xdr:ext cx="742949" cy="22860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78B4DBB1-2349-44B8-A444-349A6BE3D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157</xdr:row>
          <xdr:rowOff>142876</xdr:rowOff>
        </xdr:from>
        <xdr:ext cx="742949" cy="22860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601A2A5-F51C-4E7B-BE71-8ABAF327D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158</xdr:row>
          <xdr:rowOff>142876</xdr:rowOff>
        </xdr:from>
        <xdr:ext cx="742949" cy="22860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4D7747C7-FBD0-4FC5-BD24-B6938120C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159</xdr:row>
          <xdr:rowOff>142876</xdr:rowOff>
        </xdr:from>
        <xdr:ext cx="742949" cy="22860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4965FE4F-F5B3-469D-9644-BF9555C8C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160</xdr:row>
          <xdr:rowOff>142876</xdr:rowOff>
        </xdr:from>
        <xdr:ext cx="742949" cy="22860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4F84F356-E3E4-48FD-BFEC-1F23B6B89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161</xdr:row>
          <xdr:rowOff>142876</xdr:rowOff>
        </xdr:from>
        <xdr:ext cx="742949" cy="22860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880497C4-DDC2-4484-80D7-32E53FD48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162</xdr:row>
          <xdr:rowOff>142876</xdr:rowOff>
        </xdr:from>
        <xdr:ext cx="742949" cy="22860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893C485-2147-4E5D-9255-F8D181CDD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163</xdr:row>
          <xdr:rowOff>142876</xdr:rowOff>
        </xdr:from>
        <xdr:ext cx="742949" cy="22860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E52A1E9C-51B8-48A7-9659-C2431338C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164</xdr:row>
          <xdr:rowOff>142876</xdr:rowOff>
        </xdr:from>
        <xdr:ext cx="742949" cy="22860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3C20A097-F7DD-4E11-8264-C47AC157C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165</xdr:row>
          <xdr:rowOff>142876</xdr:rowOff>
        </xdr:from>
        <xdr:ext cx="742949" cy="22860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84AEF2EB-8365-41B6-BE28-A3AB74675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166</xdr:row>
          <xdr:rowOff>142876</xdr:rowOff>
        </xdr:from>
        <xdr:ext cx="742949" cy="22860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758E274E-C5F8-4345-81D0-A99651977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167</xdr:row>
          <xdr:rowOff>142876</xdr:rowOff>
        </xdr:from>
        <xdr:ext cx="742949" cy="22860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3F453FFD-379E-43FE-8612-EBD007DC8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168</xdr:row>
          <xdr:rowOff>142876</xdr:rowOff>
        </xdr:from>
        <xdr:ext cx="742949" cy="22860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5B6E44DF-78BE-454D-8CF3-DA3903693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169</xdr:row>
          <xdr:rowOff>142876</xdr:rowOff>
        </xdr:from>
        <xdr:ext cx="742949" cy="22860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D6803E95-10D5-4805-B644-A89A929E3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170</xdr:row>
          <xdr:rowOff>142876</xdr:rowOff>
        </xdr:from>
        <xdr:ext cx="742949" cy="22860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2C7F4832-938F-4D76-B525-1EC0A86C92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171</xdr:row>
          <xdr:rowOff>142876</xdr:rowOff>
        </xdr:from>
        <xdr:ext cx="742949" cy="22860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4F4CB1EC-CCE4-43BE-8EFC-6591BC341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172</xdr:row>
          <xdr:rowOff>142876</xdr:rowOff>
        </xdr:from>
        <xdr:ext cx="742949" cy="22860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B9500994-689B-4F5E-8300-12A0236032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173</xdr:row>
          <xdr:rowOff>142876</xdr:rowOff>
        </xdr:from>
        <xdr:ext cx="742949" cy="22860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F8E04D9B-F9A3-4A26-8CDE-0A285474D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174</xdr:row>
          <xdr:rowOff>142876</xdr:rowOff>
        </xdr:from>
        <xdr:ext cx="742949" cy="22860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896FC0CC-4A1F-477B-B533-5C3CED66E2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175</xdr:row>
          <xdr:rowOff>142876</xdr:rowOff>
        </xdr:from>
        <xdr:ext cx="742949" cy="22860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2D3D5985-F8A7-4C8F-8DC6-73DE1D1B3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176</xdr:row>
          <xdr:rowOff>142876</xdr:rowOff>
        </xdr:from>
        <xdr:ext cx="742949" cy="22860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8B27F964-0ADC-47CE-BC84-0826B6F4E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177</xdr:row>
          <xdr:rowOff>142876</xdr:rowOff>
        </xdr:from>
        <xdr:ext cx="742949" cy="22860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B2D9D589-4159-4025-9126-131359C24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178</xdr:row>
          <xdr:rowOff>142876</xdr:rowOff>
        </xdr:from>
        <xdr:ext cx="742949" cy="22860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C48C9D16-9BA5-4F76-B3AF-74735D22C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179</xdr:row>
          <xdr:rowOff>142876</xdr:rowOff>
        </xdr:from>
        <xdr:ext cx="742949" cy="22860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95AC96-8A32-4A3B-B154-ECFA36E42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180</xdr:row>
          <xdr:rowOff>142876</xdr:rowOff>
        </xdr:from>
        <xdr:ext cx="742949" cy="22860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C0EAE015-E76F-45F4-8E1F-672C083E1D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181</xdr:row>
          <xdr:rowOff>142876</xdr:rowOff>
        </xdr:from>
        <xdr:ext cx="742949" cy="22860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FF1F43DD-F1DE-4B3E-96B5-FC55FD213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182</xdr:row>
          <xdr:rowOff>142876</xdr:rowOff>
        </xdr:from>
        <xdr:ext cx="742949" cy="22860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99D551BB-8EE4-43EA-8BFE-C517A15E0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183</xdr:row>
          <xdr:rowOff>142876</xdr:rowOff>
        </xdr:from>
        <xdr:ext cx="742949" cy="22860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6FA3A410-AF8B-4D59-BB89-A013F58B7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184</xdr:row>
          <xdr:rowOff>142876</xdr:rowOff>
        </xdr:from>
        <xdr:ext cx="742949" cy="22860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A5DEA52C-6670-4E42-B95E-3F2507643E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185</xdr:row>
          <xdr:rowOff>142876</xdr:rowOff>
        </xdr:from>
        <xdr:ext cx="742949" cy="22860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96EADB95-6D33-4469-A346-81B01190B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186</xdr:row>
          <xdr:rowOff>142876</xdr:rowOff>
        </xdr:from>
        <xdr:ext cx="742949" cy="22860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708B8183-85B3-4588-BD3A-A283B95EA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187</xdr:row>
          <xdr:rowOff>142876</xdr:rowOff>
        </xdr:from>
        <xdr:ext cx="742949" cy="22860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F3048F0B-5266-4156-B00A-02579E3D9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188</xdr:row>
          <xdr:rowOff>142876</xdr:rowOff>
        </xdr:from>
        <xdr:ext cx="742949" cy="228600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56C56167-CF61-417F-AAF7-A35AC43DF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189</xdr:row>
          <xdr:rowOff>142876</xdr:rowOff>
        </xdr:from>
        <xdr:ext cx="742949" cy="228600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5E82C92A-5AE0-4F09-AD0B-930DA1700F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190</xdr:row>
          <xdr:rowOff>142876</xdr:rowOff>
        </xdr:from>
        <xdr:ext cx="742949" cy="228600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F2C797CE-93A2-427D-957A-8ABDE8BD32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191</xdr:row>
          <xdr:rowOff>142876</xdr:rowOff>
        </xdr:from>
        <xdr:ext cx="742949" cy="228600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12363B36-3CFA-45E4-A7C0-5F0A0FF507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192</xdr:row>
          <xdr:rowOff>142876</xdr:rowOff>
        </xdr:from>
        <xdr:ext cx="742949" cy="228600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CA131369-AD27-48AA-8A6D-80A935980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193</xdr:row>
          <xdr:rowOff>142876</xdr:rowOff>
        </xdr:from>
        <xdr:ext cx="742949" cy="228600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36980428-2AC4-4CC3-B4DD-3FC33C385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194</xdr:row>
          <xdr:rowOff>142876</xdr:rowOff>
        </xdr:from>
        <xdr:ext cx="742949" cy="228600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41FC2A24-15F7-41D0-998A-C44DDF561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195</xdr:row>
          <xdr:rowOff>142876</xdr:rowOff>
        </xdr:from>
        <xdr:ext cx="742949" cy="228600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9A01191-5FE1-4A47-9215-E3601FB93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196</xdr:row>
          <xdr:rowOff>142876</xdr:rowOff>
        </xdr:from>
        <xdr:ext cx="742949" cy="228600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B63872E2-11B4-40D4-A0BA-43EDB99AD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197</xdr:row>
          <xdr:rowOff>142876</xdr:rowOff>
        </xdr:from>
        <xdr:ext cx="742949" cy="228600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548D5084-C9EA-4756-8F92-79AFE8098C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198</xdr:row>
          <xdr:rowOff>142876</xdr:rowOff>
        </xdr:from>
        <xdr:ext cx="742949" cy="228600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485656EB-8668-4995-9300-B462659FE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199</xdr:row>
          <xdr:rowOff>142876</xdr:rowOff>
        </xdr:from>
        <xdr:ext cx="742949" cy="228600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E2BEBBD9-2824-4B71-987E-A403ABB98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200</xdr:row>
          <xdr:rowOff>142876</xdr:rowOff>
        </xdr:from>
        <xdr:ext cx="742949" cy="228600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4E675C1-6BCB-45C1-9EE0-59EBE1584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201</xdr:row>
          <xdr:rowOff>142876</xdr:rowOff>
        </xdr:from>
        <xdr:ext cx="742949" cy="228600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68D4EAF3-FCE1-4344-8247-6A6350AD6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202</xdr:row>
          <xdr:rowOff>142876</xdr:rowOff>
        </xdr:from>
        <xdr:ext cx="742949" cy="228600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6C45D2CE-CA54-47BC-B5EF-024C901F0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203</xdr:row>
          <xdr:rowOff>142876</xdr:rowOff>
        </xdr:from>
        <xdr:ext cx="742949" cy="228600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E0C40DAE-EF53-4B1F-A26C-B4F5B6C62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204</xdr:row>
          <xdr:rowOff>142876</xdr:rowOff>
        </xdr:from>
        <xdr:ext cx="742949" cy="228600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F3498F47-B909-4941-8742-88B5EE417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205</xdr:row>
          <xdr:rowOff>142876</xdr:rowOff>
        </xdr:from>
        <xdr:ext cx="742949" cy="228600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59D3A776-D2A7-459F-9B21-7F0D7A7EB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206</xdr:row>
          <xdr:rowOff>142876</xdr:rowOff>
        </xdr:from>
        <xdr:ext cx="742949" cy="228600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30E1B6B3-F2DB-4953-9E92-CF765F00C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207</xdr:row>
          <xdr:rowOff>142876</xdr:rowOff>
        </xdr:from>
        <xdr:ext cx="742949" cy="228600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96F22C91-AA37-44FE-845D-E2FA87BF6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208</xdr:row>
          <xdr:rowOff>142876</xdr:rowOff>
        </xdr:from>
        <xdr:ext cx="742949" cy="228600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F5D72BEC-1741-4BAD-94AF-97B0F7C069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209</xdr:row>
          <xdr:rowOff>142876</xdr:rowOff>
        </xdr:from>
        <xdr:ext cx="742949" cy="228600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9AC7B89A-65C6-467C-9A72-6F74A4C633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210</xdr:row>
          <xdr:rowOff>142876</xdr:rowOff>
        </xdr:from>
        <xdr:ext cx="742949" cy="228600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309A1E26-0AE0-4B78-BBD4-8951E099A7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211</xdr:row>
          <xdr:rowOff>142876</xdr:rowOff>
        </xdr:from>
        <xdr:ext cx="742949" cy="228600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9DC615EA-4D91-4B8A-B831-0AA750A4E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212</xdr:row>
          <xdr:rowOff>142876</xdr:rowOff>
        </xdr:from>
        <xdr:ext cx="742949" cy="228600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9752E1C3-9E16-4A01-A81B-8FBD4A8F1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213</xdr:row>
          <xdr:rowOff>142876</xdr:rowOff>
        </xdr:from>
        <xdr:ext cx="742949" cy="228600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E5B3D83D-D87A-498F-8E6A-D34CFEC5B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214</xdr:row>
          <xdr:rowOff>142876</xdr:rowOff>
        </xdr:from>
        <xdr:ext cx="742949" cy="228600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3E8ACC29-DA0C-4597-9811-4E6B8EB89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215</xdr:row>
          <xdr:rowOff>142876</xdr:rowOff>
        </xdr:from>
        <xdr:ext cx="742949" cy="228600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7B496E2E-B775-4EEA-ADF2-127009CE5B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216</xdr:row>
          <xdr:rowOff>142876</xdr:rowOff>
        </xdr:from>
        <xdr:ext cx="742949" cy="228600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4C4BE440-DD62-474E-9A59-AB740D1D6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217</xdr:row>
          <xdr:rowOff>142876</xdr:rowOff>
        </xdr:from>
        <xdr:ext cx="742949" cy="228600"/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D2935E3F-6152-47C7-B133-8488AEEF8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218</xdr:row>
          <xdr:rowOff>142876</xdr:rowOff>
        </xdr:from>
        <xdr:ext cx="742949" cy="228600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7F870161-2BFA-478B-9B28-95D18842A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219</xdr:row>
          <xdr:rowOff>142876</xdr:rowOff>
        </xdr:from>
        <xdr:ext cx="742949" cy="228600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ACA23051-FCDD-4B14-A225-7DBC0E755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220</xdr:row>
          <xdr:rowOff>142876</xdr:rowOff>
        </xdr:from>
        <xdr:ext cx="742949" cy="228600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1F95635D-2A8D-49F3-B7A9-7C0D4FBE7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221</xdr:row>
          <xdr:rowOff>142876</xdr:rowOff>
        </xdr:from>
        <xdr:ext cx="742949" cy="228600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B03977F-36A8-4302-A085-1E44818B2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222</xdr:row>
          <xdr:rowOff>142876</xdr:rowOff>
        </xdr:from>
        <xdr:ext cx="742949" cy="228600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70EF9FEF-D89E-43E8-AAFC-AC5EE932C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223</xdr:row>
          <xdr:rowOff>142876</xdr:rowOff>
        </xdr:from>
        <xdr:ext cx="742949" cy="228600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ABDE7705-95EA-4E76-92E5-23366E347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224</xdr:row>
          <xdr:rowOff>142876</xdr:rowOff>
        </xdr:from>
        <xdr:ext cx="742949" cy="228600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202A54DB-2758-477E-AF02-B3DD664E5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225</xdr:row>
          <xdr:rowOff>142876</xdr:rowOff>
        </xdr:from>
        <xdr:ext cx="742949" cy="228600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206BAFF4-05BB-402B-AD16-4E8B4B2DA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226</xdr:row>
          <xdr:rowOff>142876</xdr:rowOff>
        </xdr:from>
        <xdr:ext cx="742949" cy="228600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D737E005-D519-4784-9ECB-2A8EC2E00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227</xdr:row>
          <xdr:rowOff>142876</xdr:rowOff>
        </xdr:from>
        <xdr:ext cx="742949" cy="228600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53A0680-80D4-4337-961C-707E02424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228</xdr:row>
          <xdr:rowOff>142876</xdr:rowOff>
        </xdr:from>
        <xdr:ext cx="742949" cy="228600"/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7AC9FF79-E644-47A8-99B8-0D6A38F01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229</xdr:row>
          <xdr:rowOff>142876</xdr:rowOff>
        </xdr:from>
        <xdr:ext cx="742949" cy="228600"/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EB945376-F57E-4AC3-A5B2-5720CBC80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230</xdr:row>
          <xdr:rowOff>142876</xdr:rowOff>
        </xdr:from>
        <xdr:ext cx="742949" cy="228600"/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435223EF-331F-4B0A-BFED-751F8E58C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231</xdr:row>
          <xdr:rowOff>142876</xdr:rowOff>
        </xdr:from>
        <xdr:ext cx="742949" cy="228600"/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E2C422EA-4BCA-4A54-8A61-21E1243E0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232</xdr:row>
          <xdr:rowOff>142876</xdr:rowOff>
        </xdr:from>
        <xdr:ext cx="742949" cy="228600"/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DAF0F8C-0E60-48C2-9283-BC8F11247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233</xdr:row>
          <xdr:rowOff>142876</xdr:rowOff>
        </xdr:from>
        <xdr:ext cx="742949" cy="228600"/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67C07E06-FC0B-4AB7-BBA9-886B32492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234</xdr:row>
          <xdr:rowOff>142876</xdr:rowOff>
        </xdr:from>
        <xdr:ext cx="742949" cy="228600"/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70D9C53A-055B-45CB-BE3C-C2C66CE78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235</xdr:row>
          <xdr:rowOff>142876</xdr:rowOff>
        </xdr:from>
        <xdr:ext cx="742949" cy="228600"/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F885DF13-1CE3-46EB-BD2A-5E61D8819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236</xdr:row>
          <xdr:rowOff>142876</xdr:rowOff>
        </xdr:from>
        <xdr:ext cx="742949" cy="228600"/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FC1D197-BD6E-4005-8ADF-986EE3833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237</xdr:row>
          <xdr:rowOff>142876</xdr:rowOff>
        </xdr:from>
        <xdr:ext cx="742949" cy="228600"/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7A71401A-72A0-4EBE-A3CE-F6C2A733B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238</xdr:row>
          <xdr:rowOff>142876</xdr:rowOff>
        </xdr:from>
        <xdr:ext cx="742949" cy="228600"/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9892AEE1-1F63-4094-8A7A-416EBCE2C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239</xdr:row>
          <xdr:rowOff>142876</xdr:rowOff>
        </xdr:from>
        <xdr:ext cx="742949" cy="228600"/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7915E9F2-F447-42CA-A49F-BFF871017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240</xdr:row>
          <xdr:rowOff>142876</xdr:rowOff>
        </xdr:from>
        <xdr:ext cx="742949" cy="228600"/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4F12C3A3-729D-42CB-BE4C-20426FB24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241</xdr:row>
          <xdr:rowOff>142876</xdr:rowOff>
        </xdr:from>
        <xdr:ext cx="742949" cy="228600"/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E1555E0C-1D94-4A69-BF63-2FD0902AE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242</xdr:row>
          <xdr:rowOff>142876</xdr:rowOff>
        </xdr:from>
        <xdr:ext cx="742949" cy="228600"/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B7385B6F-D6B1-4344-BF82-04B667573D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243</xdr:row>
          <xdr:rowOff>142876</xdr:rowOff>
        </xdr:from>
        <xdr:ext cx="742949" cy="228600"/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6A252758-6FD7-4A6F-8344-08A5E6839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244</xdr:row>
          <xdr:rowOff>142876</xdr:rowOff>
        </xdr:from>
        <xdr:ext cx="742949" cy="228600"/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B615E1F2-D51D-43BE-AE07-532EA090A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245</xdr:row>
          <xdr:rowOff>142876</xdr:rowOff>
        </xdr:from>
        <xdr:ext cx="742949" cy="228600"/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B92B7BD9-C2E2-4BE5-AA93-1EF2FC06A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246</xdr:row>
          <xdr:rowOff>142876</xdr:rowOff>
        </xdr:from>
        <xdr:ext cx="742949" cy="228600"/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6B1ECD6B-65AF-4FAE-A020-084A3ECB0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247</xdr:row>
          <xdr:rowOff>142876</xdr:rowOff>
        </xdr:from>
        <xdr:ext cx="742949" cy="228600"/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DD60139-FF3F-4D9C-8874-B6A2C69BE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248</xdr:row>
          <xdr:rowOff>142876</xdr:rowOff>
        </xdr:from>
        <xdr:ext cx="742949" cy="228600"/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9865CE45-6773-450A-9391-B12656B7BC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249</xdr:row>
          <xdr:rowOff>142876</xdr:rowOff>
        </xdr:from>
        <xdr:ext cx="742949" cy="228600"/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917AFB34-A6EC-43CF-84A2-F37975D51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250</xdr:row>
          <xdr:rowOff>142876</xdr:rowOff>
        </xdr:from>
        <xdr:ext cx="742949" cy="228600"/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861D6132-2E28-42C3-B30C-203076A78F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251</xdr:row>
          <xdr:rowOff>142876</xdr:rowOff>
        </xdr:from>
        <xdr:ext cx="742949" cy="228600"/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5FD28A2A-18C8-4A81-872C-C325E6939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252</xdr:row>
          <xdr:rowOff>142876</xdr:rowOff>
        </xdr:from>
        <xdr:ext cx="742949" cy="228600"/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313A1F3B-26FA-4F78-8CD9-941A73CDF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253</xdr:row>
          <xdr:rowOff>142876</xdr:rowOff>
        </xdr:from>
        <xdr:ext cx="742949" cy="228600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A7CFF0DA-ACC8-43FB-8098-0C39A93AD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254</xdr:row>
          <xdr:rowOff>142876</xdr:rowOff>
        </xdr:from>
        <xdr:ext cx="742949" cy="228600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8DAEF070-76E0-4480-91BB-F184A8C46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255</xdr:row>
          <xdr:rowOff>142876</xdr:rowOff>
        </xdr:from>
        <xdr:ext cx="742949" cy="228600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E5D78CC0-B1BB-4878-9B70-6B69CEE545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256</xdr:row>
          <xdr:rowOff>142876</xdr:rowOff>
        </xdr:from>
        <xdr:ext cx="742949" cy="228600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1E0ACBA2-8BE3-4F57-AACA-E6B399C1D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257</xdr:row>
          <xdr:rowOff>142876</xdr:rowOff>
        </xdr:from>
        <xdr:ext cx="742949" cy="228600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95C4B254-8515-4D3D-A4F1-CD4194555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258</xdr:row>
          <xdr:rowOff>142876</xdr:rowOff>
        </xdr:from>
        <xdr:ext cx="742949" cy="228600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A334B92A-CA2F-4497-A4A2-DED3DA28E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259</xdr:row>
          <xdr:rowOff>142876</xdr:rowOff>
        </xdr:from>
        <xdr:ext cx="742949" cy="228600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983CDBAB-55ED-4AE1-934B-E3956513C9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260</xdr:row>
          <xdr:rowOff>142876</xdr:rowOff>
        </xdr:from>
        <xdr:ext cx="742949" cy="228600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8C356706-CA2D-41F0-8E04-1D53FC1BD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261</xdr:row>
          <xdr:rowOff>142876</xdr:rowOff>
        </xdr:from>
        <xdr:ext cx="742949" cy="228600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D3A9630D-FDFA-4F41-8879-5031E248C7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262</xdr:row>
          <xdr:rowOff>142876</xdr:rowOff>
        </xdr:from>
        <xdr:ext cx="742949" cy="228600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5D37932E-F05D-464B-A612-74663F1B4F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263</xdr:row>
          <xdr:rowOff>142876</xdr:rowOff>
        </xdr:from>
        <xdr:ext cx="742949" cy="228600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E425B99D-9245-4D24-8C4A-463073684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264</xdr:row>
          <xdr:rowOff>142876</xdr:rowOff>
        </xdr:from>
        <xdr:ext cx="742949" cy="228600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DAF82BE2-17FB-49F1-99FA-ADFF39E1F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265</xdr:row>
          <xdr:rowOff>142876</xdr:rowOff>
        </xdr:from>
        <xdr:ext cx="742949" cy="228600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647A70C3-DDD9-43FE-944D-0C8AC5453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266</xdr:row>
          <xdr:rowOff>142876</xdr:rowOff>
        </xdr:from>
        <xdr:ext cx="742949" cy="228600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F929C406-9C27-4E9E-B71C-354629B33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267</xdr:row>
          <xdr:rowOff>142876</xdr:rowOff>
        </xdr:from>
        <xdr:ext cx="742949" cy="228600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4B74CDC9-DFE5-4378-8A32-CE95546BC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268</xdr:row>
          <xdr:rowOff>142876</xdr:rowOff>
        </xdr:from>
        <xdr:ext cx="742949" cy="228600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1678D0CF-9629-4567-ACC8-3D621368E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269</xdr:row>
          <xdr:rowOff>142876</xdr:rowOff>
        </xdr:from>
        <xdr:ext cx="742949" cy="228600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292FD08F-DD8B-409F-B955-E309CCA0B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270</xdr:row>
          <xdr:rowOff>142876</xdr:rowOff>
        </xdr:from>
        <xdr:ext cx="742949" cy="228600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12C08F0E-2747-4D1C-A015-97AB3AF7A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271</xdr:row>
          <xdr:rowOff>142876</xdr:rowOff>
        </xdr:from>
        <xdr:ext cx="742949" cy="228600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868FFC2-995F-4CC4-BA22-3F03A3043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272</xdr:row>
          <xdr:rowOff>142876</xdr:rowOff>
        </xdr:from>
        <xdr:ext cx="742949" cy="228600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875B0898-9916-467D-AF3C-25DB24F3A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273</xdr:row>
          <xdr:rowOff>142876</xdr:rowOff>
        </xdr:from>
        <xdr:ext cx="742949" cy="228600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FE6EC72C-0BE4-4B19-B9BE-54247EE74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274</xdr:row>
          <xdr:rowOff>142876</xdr:rowOff>
        </xdr:from>
        <xdr:ext cx="742949" cy="228600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6B40E025-B486-4F32-AA4E-2A18F52827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275</xdr:row>
          <xdr:rowOff>142876</xdr:rowOff>
        </xdr:from>
        <xdr:ext cx="742949" cy="228600"/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F3E71635-4911-4A33-88E4-B5DD6ECE8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276</xdr:row>
          <xdr:rowOff>142876</xdr:rowOff>
        </xdr:from>
        <xdr:ext cx="742949" cy="228600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EC65303A-00F9-4D13-AC69-64E3D158E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277</xdr:row>
          <xdr:rowOff>142876</xdr:rowOff>
        </xdr:from>
        <xdr:ext cx="742949" cy="228600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103294B1-E607-4D9B-A712-A35244A9AC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278</xdr:row>
          <xdr:rowOff>142876</xdr:rowOff>
        </xdr:from>
        <xdr:ext cx="742949" cy="228600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BFCE2523-00D0-4F83-88EB-66DC90AA7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279</xdr:row>
          <xdr:rowOff>142876</xdr:rowOff>
        </xdr:from>
        <xdr:ext cx="742949" cy="228600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A054EBB-1FB2-4127-9319-0350EF4BC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280</xdr:row>
          <xdr:rowOff>142876</xdr:rowOff>
        </xdr:from>
        <xdr:ext cx="742949" cy="228600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495BF5C3-0CBB-4924-9CDA-92FC8C387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281</xdr:row>
          <xdr:rowOff>142876</xdr:rowOff>
        </xdr:from>
        <xdr:ext cx="742949" cy="228600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2725612F-6756-4A56-A490-C01D98C29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282</xdr:row>
          <xdr:rowOff>142876</xdr:rowOff>
        </xdr:from>
        <xdr:ext cx="742949" cy="228600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32D2D1E8-8448-44DC-B069-BC40522517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283</xdr:row>
          <xdr:rowOff>142876</xdr:rowOff>
        </xdr:from>
        <xdr:ext cx="742949" cy="228600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2DBE61C3-17CF-4B59-9A56-EE5AB497B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284</xdr:row>
          <xdr:rowOff>142876</xdr:rowOff>
        </xdr:from>
        <xdr:ext cx="742949" cy="228600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9BB66460-BEDC-4961-9459-E47DBBAE34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285</xdr:row>
          <xdr:rowOff>142876</xdr:rowOff>
        </xdr:from>
        <xdr:ext cx="742949" cy="228600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59B1DC9E-095C-47E1-8628-CD9EE9C66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286</xdr:row>
          <xdr:rowOff>142876</xdr:rowOff>
        </xdr:from>
        <xdr:ext cx="742949" cy="228600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ABC89619-C020-4069-B036-0A66C1179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287</xdr:row>
          <xdr:rowOff>142876</xdr:rowOff>
        </xdr:from>
        <xdr:ext cx="742949" cy="228600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735522F6-3CBE-4928-9CD5-F521EC8CBD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288</xdr:row>
          <xdr:rowOff>142876</xdr:rowOff>
        </xdr:from>
        <xdr:ext cx="742949" cy="228600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A8A95DFA-68E3-4F11-B816-60C8CFE36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289</xdr:row>
          <xdr:rowOff>142876</xdr:rowOff>
        </xdr:from>
        <xdr:ext cx="742949" cy="228600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1975CEE0-B7D8-49AE-BEAD-585A37069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290</xdr:row>
          <xdr:rowOff>142876</xdr:rowOff>
        </xdr:from>
        <xdr:ext cx="742949" cy="228600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9F6A8186-0A4C-4AD7-83D9-E4E79BBE2C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291</xdr:row>
          <xdr:rowOff>142876</xdr:rowOff>
        </xdr:from>
        <xdr:ext cx="742949" cy="228600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F883ED7B-BA32-4FC8-959E-DE95C1201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292</xdr:row>
          <xdr:rowOff>142876</xdr:rowOff>
        </xdr:from>
        <xdr:ext cx="742949" cy="228600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64096D7A-4CB8-41E7-9846-B7DC7FD6D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293</xdr:row>
          <xdr:rowOff>142876</xdr:rowOff>
        </xdr:from>
        <xdr:ext cx="742949" cy="228600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8420301D-3FFC-4ECD-A010-6B1D1BDE4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294</xdr:row>
          <xdr:rowOff>142876</xdr:rowOff>
        </xdr:from>
        <xdr:ext cx="742949" cy="228600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73549A40-E1E1-4799-A199-B9ABB8A7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295</xdr:row>
          <xdr:rowOff>142876</xdr:rowOff>
        </xdr:from>
        <xdr:ext cx="742949" cy="228600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F7D2D6C2-E00B-48F2-A281-562E4A1C1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296</xdr:row>
          <xdr:rowOff>142876</xdr:rowOff>
        </xdr:from>
        <xdr:ext cx="742949" cy="228600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A69090EF-7BCC-47F0-A40C-C743EC9B50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297</xdr:row>
          <xdr:rowOff>142876</xdr:rowOff>
        </xdr:from>
        <xdr:ext cx="742949" cy="228600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23F05B08-9844-4940-B192-22BBA640C5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298</xdr:row>
          <xdr:rowOff>142876</xdr:rowOff>
        </xdr:from>
        <xdr:ext cx="742949" cy="228600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8546E77E-E85D-4AC6-8241-3433BC139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299</xdr:row>
          <xdr:rowOff>142876</xdr:rowOff>
        </xdr:from>
        <xdr:ext cx="742949" cy="228600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BFDBB00A-CE6F-4D4A-9574-E765EECF1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300</xdr:row>
          <xdr:rowOff>142876</xdr:rowOff>
        </xdr:from>
        <xdr:ext cx="742949" cy="228600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9FD29189-4B04-4D24-AC1E-323CF6F55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301</xdr:row>
          <xdr:rowOff>142876</xdr:rowOff>
        </xdr:from>
        <xdr:ext cx="742949" cy="228600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DD77AFBC-6930-4E57-9AA9-075CA1AE4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302</xdr:row>
          <xdr:rowOff>142876</xdr:rowOff>
        </xdr:from>
        <xdr:ext cx="742949" cy="228600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48602953-4FC1-4234-9BDC-0042C85C9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303</xdr:row>
          <xdr:rowOff>142876</xdr:rowOff>
        </xdr:from>
        <xdr:ext cx="742949" cy="228600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6E6DB327-FF3D-4719-9FB3-A0A954CC3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304</xdr:row>
          <xdr:rowOff>142876</xdr:rowOff>
        </xdr:from>
        <xdr:ext cx="742949" cy="228600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3437A0DE-A231-45F0-868B-3D4D19CF3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305</xdr:row>
          <xdr:rowOff>142876</xdr:rowOff>
        </xdr:from>
        <xdr:ext cx="742949" cy="228600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2CBD97BE-615E-4EBF-A31B-2A8A6FEE4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306</xdr:row>
          <xdr:rowOff>142876</xdr:rowOff>
        </xdr:from>
        <xdr:ext cx="742949" cy="228600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A7F4ED2F-0600-48BE-A7D5-3745EF690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307</xdr:row>
          <xdr:rowOff>142876</xdr:rowOff>
        </xdr:from>
        <xdr:ext cx="742949" cy="228600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9EA35F5A-B0F3-4031-81FB-CF531499F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308</xdr:row>
          <xdr:rowOff>142876</xdr:rowOff>
        </xdr:from>
        <xdr:ext cx="742949" cy="228600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8D99E9A7-8E25-4FE2-86A3-D77BF7090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309</xdr:row>
          <xdr:rowOff>142876</xdr:rowOff>
        </xdr:from>
        <xdr:ext cx="742949" cy="228600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81A5694F-9D01-4FF6-8FBE-8780F40269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310</xdr:row>
          <xdr:rowOff>142876</xdr:rowOff>
        </xdr:from>
        <xdr:ext cx="742949" cy="228600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EED580DD-E041-48A2-996A-C3BE8E20F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311</xdr:row>
          <xdr:rowOff>142876</xdr:rowOff>
        </xdr:from>
        <xdr:ext cx="742949" cy="228600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5FFACA98-051D-4D87-942F-AC7230DC36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312</xdr:row>
          <xdr:rowOff>142876</xdr:rowOff>
        </xdr:from>
        <xdr:ext cx="742949" cy="228600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E1FB3103-2002-4926-BEDB-81C1DB89F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313</xdr:row>
          <xdr:rowOff>142876</xdr:rowOff>
        </xdr:from>
        <xdr:ext cx="742949" cy="228600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2192B3F0-13E1-4398-A0A2-6E8064020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314</xdr:row>
          <xdr:rowOff>142876</xdr:rowOff>
        </xdr:from>
        <xdr:ext cx="742949" cy="228600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B8982E07-54CE-48A6-B32F-01B1C08E7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315</xdr:row>
          <xdr:rowOff>142876</xdr:rowOff>
        </xdr:from>
        <xdr:ext cx="742949" cy="228600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438AAB85-A9FD-40B6-9B83-4F617132C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316</xdr:row>
          <xdr:rowOff>142876</xdr:rowOff>
        </xdr:from>
        <xdr:ext cx="742949" cy="228600"/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915E474F-93A0-424F-A418-DD686F4BF9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317</xdr:row>
          <xdr:rowOff>142876</xdr:rowOff>
        </xdr:from>
        <xdr:ext cx="742949" cy="228600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2BEA991F-8A42-431C-8C0F-AF60BB6C0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318</xdr:row>
          <xdr:rowOff>142876</xdr:rowOff>
        </xdr:from>
        <xdr:ext cx="742949" cy="228600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5E397A6B-F9F7-4E76-9539-6E7D37269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319</xdr:row>
          <xdr:rowOff>142876</xdr:rowOff>
        </xdr:from>
        <xdr:ext cx="742949" cy="228600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D4B6DB57-CEBF-4E81-8FED-2E1559219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320</xdr:row>
          <xdr:rowOff>142876</xdr:rowOff>
        </xdr:from>
        <xdr:ext cx="742949" cy="228600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6ABFCB39-62A9-4DD1-A888-ED3CB3920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321</xdr:row>
          <xdr:rowOff>142876</xdr:rowOff>
        </xdr:from>
        <xdr:ext cx="742949" cy="228600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31631D8E-A210-4F48-BCEB-B237926C6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322</xdr:row>
          <xdr:rowOff>142876</xdr:rowOff>
        </xdr:from>
        <xdr:ext cx="742949" cy="228600"/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2C86A982-668F-41C1-BE8D-AA1C8B068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323</xdr:row>
          <xdr:rowOff>142876</xdr:rowOff>
        </xdr:from>
        <xdr:ext cx="742949" cy="228600"/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649B9DA1-FEE1-49D0-A46B-746AA9150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324</xdr:row>
          <xdr:rowOff>142876</xdr:rowOff>
        </xdr:from>
        <xdr:ext cx="742949" cy="228600"/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E87032A8-3C87-4137-8FFE-F792DDDC0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325</xdr:row>
          <xdr:rowOff>142876</xdr:rowOff>
        </xdr:from>
        <xdr:ext cx="742949" cy="228600"/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ABEB10FF-AF65-40F8-A392-8E5BBBE0F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326</xdr:row>
          <xdr:rowOff>142876</xdr:rowOff>
        </xdr:from>
        <xdr:ext cx="742949" cy="228600"/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70035B40-7A7F-4818-8C36-9F316CA5C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327</xdr:row>
          <xdr:rowOff>142876</xdr:rowOff>
        </xdr:from>
        <xdr:ext cx="742949" cy="228600"/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C96B6A95-3FDE-4FE3-BCDE-1E050419DB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328</xdr:row>
          <xdr:rowOff>142876</xdr:rowOff>
        </xdr:from>
        <xdr:ext cx="742949" cy="228600"/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30DFC405-8875-4B99-8691-D621257EA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329</xdr:row>
          <xdr:rowOff>142876</xdr:rowOff>
        </xdr:from>
        <xdr:ext cx="742949" cy="228600"/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6CE33DD0-6345-423F-82D6-75F9B0AE5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330</xdr:row>
          <xdr:rowOff>142876</xdr:rowOff>
        </xdr:from>
        <xdr:ext cx="742949" cy="228600"/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1FCFE08F-8909-44F7-A50F-65F184F58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331</xdr:row>
          <xdr:rowOff>142876</xdr:rowOff>
        </xdr:from>
        <xdr:ext cx="742949" cy="228600"/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E6B1C1F3-61D1-45BD-8B73-450FC8F43C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332</xdr:row>
          <xdr:rowOff>142876</xdr:rowOff>
        </xdr:from>
        <xdr:ext cx="742949" cy="228600"/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4445534-1CCE-4AAE-9DF0-76C94CAFB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333</xdr:row>
          <xdr:rowOff>142876</xdr:rowOff>
        </xdr:from>
        <xdr:ext cx="742949" cy="228600"/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C3B58F51-523E-4E1B-A53A-7812080144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334</xdr:row>
          <xdr:rowOff>142876</xdr:rowOff>
        </xdr:from>
        <xdr:ext cx="742949" cy="228600"/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E2059439-049D-4527-A25D-83B9B02607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335</xdr:row>
          <xdr:rowOff>142876</xdr:rowOff>
        </xdr:from>
        <xdr:ext cx="742949" cy="228600"/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88C35F7C-AD88-4423-9400-0E7E6847C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336</xdr:row>
          <xdr:rowOff>142876</xdr:rowOff>
        </xdr:from>
        <xdr:ext cx="742949" cy="228600"/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8DD771B7-59C3-4E3C-94E1-C60B676E2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337</xdr:row>
          <xdr:rowOff>142876</xdr:rowOff>
        </xdr:from>
        <xdr:ext cx="742949" cy="228600"/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7DD86BE4-73CF-40E9-AB50-04ACDBE378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338</xdr:row>
          <xdr:rowOff>142876</xdr:rowOff>
        </xdr:from>
        <xdr:ext cx="742949" cy="228600"/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5AA9E147-7D1F-4CE3-AB18-1C0D4ED6A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339</xdr:row>
          <xdr:rowOff>142876</xdr:rowOff>
        </xdr:from>
        <xdr:ext cx="742949" cy="228600"/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E27C35E3-3F31-440E-93F8-E3C5DAE2E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340</xdr:row>
          <xdr:rowOff>142876</xdr:rowOff>
        </xdr:from>
        <xdr:ext cx="742949" cy="228600"/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13E95463-5ABC-4788-9FB8-3CD4B70AF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341</xdr:row>
          <xdr:rowOff>142876</xdr:rowOff>
        </xdr:from>
        <xdr:ext cx="742949" cy="228600"/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17E3DA5D-1584-4635-ABD7-20AEC1841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342</xdr:row>
          <xdr:rowOff>142876</xdr:rowOff>
        </xdr:from>
        <xdr:ext cx="742949" cy="228600"/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4A057131-B35E-45E3-83DB-16FF761AD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343</xdr:row>
          <xdr:rowOff>142876</xdr:rowOff>
        </xdr:from>
        <xdr:ext cx="742949" cy="228600"/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67C8B114-CCE5-4EF0-9E2D-62A9744BD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344</xdr:row>
          <xdr:rowOff>142876</xdr:rowOff>
        </xdr:from>
        <xdr:ext cx="742949" cy="228600"/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1E0113C7-5798-45B6-AF7A-1B3B2CB55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345</xdr:row>
          <xdr:rowOff>142876</xdr:rowOff>
        </xdr:from>
        <xdr:ext cx="742949" cy="228600"/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536EF958-461F-46AE-8152-AEA52B15B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346</xdr:row>
          <xdr:rowOff>142876</xdr:rowOff>
        </xdr:from>
        <xdr:ext cx="742949" cy="228600"/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CD927CC4-A8AC-4953-9B4A-E6041B63B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347</xdr:row>
          <xdr:rowOff>142876</xdr:rowOff>
        </xdr:from>
        <xdr:ext cx="742949" cy="228600"/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810C6C04-D4AD-442E-9B7A-C1187FF35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348</xdr:row>
          <xdr:rowOff>142876</xdr:rowOff>
        </xdr:from>
        <xdr:ext cx="742949" cy="228600"/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D4E7B8DB-B23C-4EBF-AD17-F827278DC7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349</xdr:row>
          <xdr:rowOff>142876</xdr:rowOff>
        </xdr:from>
        <xdr:ext cx="742949" cy="228600"/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BE3CE53-5119-4E9F-A903-91D2B6448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350</xdr:row>
          <xdr:rowOff>142876</xdr:rowOff>
        </xdr:from>
        <xdr:ext cx="742949" cy="228600"/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E1AC0559-54C9-4149-BF26-83FF0907D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351</xdr:row>
          <xdr:rowOff>142876</xdr:rowOff>
        </xdr:from>
        <xdr:ext cx="742949" cy="228600"/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5AF2FFB4-BFBC-4BF5-99C3-54EE9D17B1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352</xdr:row>
          <xdr:rowOff>142876</xdr:rowOff>
        </xdr:from>
        <xdr:ext cx="742949" cy="228600"/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4E346F79-0105-464B-825C-AFE4051789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353</xdr:row>
          <xdr:rowOff>142876</xdr:rowOff>
        </xdr:from>
        <xdr:ext cx="742949" cy="228600"/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4C8E6EB1-9DC4-406A-B7B5-23B64A849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354</xdr:row>
          <xdr:rowOff>142876</xdr:rowOff>
        </xdr:from>
        <xdr:ext cx="742949" cy="228600"/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FB6C2DB6-1C52-4139-9DDC-FC64EFEB51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355</xdr:row>
          <xdr:rowOff>142876</xdr:rowOff>
        </xdr:from>
        <xdr:ext cx="742949" cy="228600"/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27B5C67-3859-44AF-8CF4-B6D1483C8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356</xdr:row>
          <xdr:rowOff>142876</xdr:rowOff>
        </xdr:from>
        <xdr:ext cx="742949" cy="228600"/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A3814FB9-418E-4156-A6E1-4131BB1B88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357</xdr:row>
          <xdr:rowOff>142876</xdr:rowOff>
        </xdr:from>
        <xdr:ext cx="742949" cy="228600"/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F6A69212-0EE3-4F43-9DFA-BAC95BB48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358</xdr:row>
          <xdr:rowOff>142876</xdr:rowOff>
        </xdr:from>
        <xdr:ext cx="742949" cy="228600"/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86E09C37-3742-42E7-9A91-4F2DDF962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359</xdr:row>
          <xdr:rowOff>142876</xdr:rowOff>
        </xdr:from>
        <xdr:ext cx="742949" cy="228600"/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542D1D18-5A15-44FB-803B-ABF350AA6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360</xdr:row>
          <xdr:rowOff>142876</xdr:rowOff>
        </xdr:from>
        <xdr:ext cx="742949" cy="228600"/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4027022C-A4D3-48B0-86FA-1251F5981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361</xdr:row>
          <xdr:rowOff>142876</xdr:rowOff>
        </xdr:from>
        <xdr:ext cx="742949" cy="228600"/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5D14838E-E39A-44FC-BCB5-9D83913CA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362</xdr:row>
          <xdr:rowOff>142876</xdr:rowOff>
        </xdr:from>
        <xdr:ext cx="742949" cy="228600"/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91B62116-BA51-452E-A7CF-6D1CB0AE8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363</xdr:row>
          <xdr:rowOff>142876</xdr:rowOff>
        </xdr:from>
        <xdr:ext cx="742949" cy="228600"/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5B744F8C-C710-4F52-9A94-D77550287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364</xdr:row>
          <xdr:rowOff>142876</xdr:rowOff>
        </xdr:from>
        <xdr:ext cx="742949" cy="228600"/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6222D5DE-C3EF-41AB-972A-F721D11B8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365</xdr:row>
          <xdr:rowOff>142876</xdr:rowOff>
        </xdr:from>
        <xdr:ext cx="742949" cy="228600"/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127E2C4B-8F0E-42F7-95C3-ED50AB7B3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366</xdr:row>
          <xdr:rowOff>142876</xdr:rowOff>
        </xdr:from>
        <xdr:ext cx="742949" cy="228600"/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637691AD-4CDE-4583-B485-263BDAE5B4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367</xdr:row>
          <xdr:rowOff>142876</xdr:rowOff>
        </xdr:from>
        <xdr:ext cx="742949" cy="228600"/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C9CB4331-DC52-4C28-B733-D41C7E0C1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368</xdr:row>
          <xdr:rowOff>142876</xdr:rowOff>
        </xdr:from>
        <xdr:ext cx="742949" cy="228600"/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F0934E67-0BB4-45A2-826B-841D28D41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369</xdr:row>
          <xdr:rowOff>142876</xdr:rowOff>
        </xdr:from>
        <xdr:ext cx="742949" cy="228600"/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7C18CF34-A3DE-494C-80EF-C71B20D1D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370</xdr:row>
          <xdr:rowOff>142876</xdr:rowOff>
        </xdr:from>
        <xdr:ext cx="742949" cy="228600"/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E8CA0495-F7EE-4801-B36E-3DB0AFD7A3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371</xdr:row>
          <xdr:rowOff>142876</xdr:rowOff>
        </xdr:from>
        <xdr:ext cx="742949" cy="228600"/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955BF03B-286D-4D8F-8705-21D52265C1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372</xdr:row>
          <xdr:rowOff>142876</xdr:rowOff>
        </xdr:from>
        <xdr:ext cx="742949" cy="228600"/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B8D66F94-A6CF-4C23-AFA0-99F3DE96BD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373</xdr:row>
          <xdr:rowOff>142876</xdr:rowOff>
        </xdr:from>
        <xdr:ext cx="742949" cy="228600"/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A054B249-3F03-41A9-8B21-931138936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374</xdr:row>
          <xdr:rowOff>142876</xdr:rowOff>
        </xdr:from>
        <xdr:ext cx="742949" cy="228600"/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7713B149-846F-4F32-A45B-C40CABCD0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375</xdr:row>
          <xdr:rowOff>142876</xdr:rowOff>
        </xdr:from>
        <xdr:ext cx="742949" cy="228600"/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BBD660A5-6F19-4AB5-93EF-C6A912EAD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376</xdr:row>
          <xdr:rowOff>142876</xdr:rowOff>
        </xdr:from>
        <xdr:ext cx="742949" cy="228600"/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287A20CE-7AB4-4094-8F43-E598E9A5C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377</xdr:row>
          <xdr:rowOff>142876</xdr:rowOff>
        </xdr:from>
        <xdr:ext cx="742949" cy="228600"/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39397545-FF94-4B4D-9163-43A60BB48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378</xdr:row>
          <xdr:rowOff>142876</xdr:rowOff>
        </xdr:from>
        <xdr:ext cx="742949" cy="228600"/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ED63E1FD-6B37-490A-8E4E-6A518F1CC8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379</xdr:row>
          <xdr:rowOff>142876</xdr:rowOff>
        </xdr:from>
        <xdr:ext cx="742949" cy="228600"/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729C0FDC-D87E-4D05-B3B5-765BCC5F5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380</xdr:row>
          <xdr:rowOff>142876</xdr:rowOff>
        </xdr:from>
        <xdr:ext cx="742949" cy="228600"/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57A1E9F4-2967-4D71-AC80-727DAC5E99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381</xdr:row>
          <xdr:rowOff>142876</xdr:rowOff>
        </xdr:from>
        <xdr:ext cx="742949" cy="228600"/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98C00994-C50F-45DF-BAE7-37711092A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382</xdr:row>
          <xdr:rowOff>142876</xdr:rowOff>
        </xdr:from>
        <xdr:ext cx="742949" cy="228600"/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6556609E-A12E-4713-BA20-2127CCB998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383</xdr:row>
          <xdr:rowOff>142876</xdr:rowOff>
        </xdr:from>
        <xdr:ext cx="742949" cy="228600"/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8FF90DFE-E5A8-4DC5-B080-1E234F771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384</xdr:row>
          <xdr:rowOff>142876</xdr:rowOff>
        </xdr:from>
        <xdr:ext cx="742949" cy="228600"/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A2F1D47E-9329-4A3F-9C68-1195FC674D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385</xdr:row>
          <xdr:rowOff>142876</xdr:rowOff>
        </xdr:from>
        <xdr:ext cx="742949" cy="228600"/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1037B5BF-30F6-4664-9D3F-77D3277FF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386</xdr:row>
          <xdr:rowOff>142876</xdr:rowOff>
        </xdr:from>
        <xdr:ext cx="742949" cy="228600"/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4757476A-8D32-4CA6-91C8-6D14E37DA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387</xdr:row>
          <xdr:rowOff>142876</xdr:rowOff>
        </xdr:from>
        <xdr:ext cx="742949" cy="228600"/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738A8F94-2646-46AA-BD07-BFF936D384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388</xdr:row>
          <xdr:rowOff>142876</xdr:rowOff>
        </xdr:from>
        <xdr:ext cx="742949" cy="228600"/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7A1A6F60-6B92-4EEF-9590-975A35326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389</xdr:row>
          <xdr:rowOff>142876</xdr:rowOff>
        </xdr:from>
        <xdr:ext cx="742949" cy="228600"/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4A3424EC-BC67-48AF-87A1-E7E7D6C8C0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390</xdr:row>
          <xdr:rowOff>142876</xdr:rowOff>
        </xdr:from>
        <xdr:ext cx="742949" cy="228600"/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AD3015EF-71DC-4CEC-98F2-4EA972E3D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391</xdr:row>
          <xdr:rowOff>142876</xdr:rowOff>
        </xdr:from>
        <xdr:ext cx="742949" cy="228600"/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52CE594A-70E1-40D6-8833-3D0242B6D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392</xdr:row>
          <xdr:rowOff>142876</xdr:rowOff>
        </xdr:from>
        <xdr:ext cx="742949" cy="228600"/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F6DB3E45-A1F6-4036-B0C3-606AD99ED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393</xdr:row>
          <xdr:rowOff>142876</xdr:rowOff>
        </xdr:from>
        <xdr:ext cx="742949" cy="228600"/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B87AAF3D-E5A2-4EED-ACE7-6FB9D0236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394</xdr:row>
          <xdr:rowOff>142876</xdr:rowOff>
        </xdr:from>
        <xdr:ext cx="742949" cy="228600"/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9D081D97-1D2F-4ADA-B025-B2184B4D9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395</xdr:row>
          <xdr:rowOff>142876</xdr:rowOff>
        </xdr:from>
        <xdr:ext cx="742949" cy="228600"/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F9841BD0-8EC4-4863-96EF-D495834D57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396</xdr:row>
          <xdr:rowOff>142876</xdr:rowOff>
        </xdr:from>
        <xdr:ext cx="742949" cy="228600"/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E4133E1F-F822-4E79-A591-FE2C94E13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397</xdr:row>
          <xdr:rowOff>142876</xdr:rowOff>
        </xdr:from>
        <xdr:ext cx="742949" cy="228600"/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D62BF72C-AE2F-40AB-98E7-0DF37ED6D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398</xdr:row>
          <xdr:rowOff>142876</xdr:rowOff>
        </xdr:from>
        <xdr:ext cx="742949" cy="228600"/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6BDC6432-A8FB-4648-B7E7-E061B4E41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399</xdr:row>
          <xdr:rowOff>142876</xdr:rowOff>
        </xdr:from>
        <xdr:ext cx="742949" cy="228600"/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2E094BAA-7A71-4464-A66D-98F06FBA9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400</xdr:row>
          <xdr:rowOff>142876</xdr:rowOff>
        </xdr:from>
        <xdr:ext cx="742949" cy="228600"/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63F15869-9496-4098-9539-6FD9F6755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401</xdr:row>
          <xdr:rowOff>142876</xdr:rowOff>
        </xdr:from>
        <xdr:ext cx="742949" cy="228600"/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8FA862E-ED33-476B-AA1F-67B3222D8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402</xdr:row>
          <xdr:rowOff>142876</xdr:rowOff>
        </xdr:from>
        <xdr:ext cx="742949" cy="228600"/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316BBE1C-83E4-4CA3-894C-8D3421B45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403</xdr:row>
          <xdr:rowOff>142876</xdr:rowOff>
        </xdr:from>
        <xdr:ext cx="742949" cy="228600"/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F738EDA6-38E5-4250-8B78-7CAA9C64C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404</xdr:row>
          <xdr:rowOff>142876</xdr:rowOff>
        </xdr:from>
        <xdr:ext cx="742949" cy="228600"/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89BDDC13-67F2-4648-B9EE-A3FB89442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405</xdr:row>
          <xdr:rowOff>142876</xdr:rowOff>
        </xdr:from>
        <xdr:ext cx="742949" cy="228600"/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5688DCC4-0079-4373-B5BF-AEF225906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406</xdr:row>
          <xdr:rowOff>142876</xdr:rowOff>
        </xdr:from>
        <xdr:ext cx="742949" cy="228600"/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F27CF17D-533F-4F1F-A2E8-9DFC668815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407</xdr:row>
          <xdr:rowOff>142876</xdr:rowOff>
        </xdr:from>
        <xdr:ext cx="742949" cy="228600"/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57DB85AD-1817-4B59-B266-E8279D38B3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408</xdr:row>
          <xdr:rowOff>142876</xdr:rowOff>
        </xdr:from>
        <xdr:ext cx="742949" cy="228600"/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4AFF0F2F-BA9B-44F2-8360-56392A1E1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409</xdr:row>
          <xdr:rowOff>142876</xdr:rowOff>
        </xdr:from>
        <xdr:ext cx="742949" cy="228600"/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124C018B-FDD3-4758-983D-C4E334373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410</xdr:row>
          <xdr:rowOff>142876</xdr:rowOff>
        </xdr:from>
        <xdr:ext cx="742949" cy="228600"/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32DB6610-A753-44F0-8641-AA90A3DC59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411</xdr:row>
          <xdr:rowOff>142876</xdr:rowOff>
        </xdr:from>
        <xdr:ext cx="742949" cy="228600"/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B8FA6A78-2858-4B57-9A79-BEFFADEC66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412</xdr:row>
          <xdr:rowOff>142876</xdr:rowOff>
        </xdr:from>
        <xdr:ext cx="742949" cy="228600"/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8C867234-09B6-4565-ABCD-FC529EAA9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413</xdr:row>
          <xdr:rowOff>142876</xdr:rowOff>
        </xdr:from>
        <xdr:ext cx="742949" cy="228600"/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4CC71EDF-4A73-4C63-AB26-0C4ABA30F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414</xdr:row>
          <xdr:rowOff>142876</xdr:rowOff>
        </xdr:from>
        <xdr:ext cx="742949" cy="228600"/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CFBD8079-8BD5-40FA-BE2F-C267CB6966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415</xdr:row>
          <xdr:rowOff>142876</xdr:rowOff>
        </xdr:from>
        <xdr:ext cx="742949" cy="228600"/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2A0F477A-96AD-48AA-93B3-A97DD406E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416</xdr:row>
          <xdr:rowOff>142876</xdr:rowOff>
        </xdr:from>
        <xdr:ext cx="742949" cy="228600"/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67756A24-C810-4FC8-B2B1-9A28E0AC0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417</xdr:row>
          <xdr:rowOff>142876</xdr:rowOff>
        </xdr:from>
        <xdr:ext cx="742949" cy="228600"/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F106150B-7FEC-4578-BEDD-70586D213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418</xdr:row>
          <xdr:rowOff>142876</xdr:rowOff>
        </xdr:from>
        <xdr:ext cx="742949" cy="228600"/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64AA1F08-C716-43C8-8E6C-875E6752AB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419</xdr:row>
          <xdr:rowOff>142876</xdr:rowOff>
        </xdr:from>
        <xdr:ext cx="742949" cy="228600"/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F87398C4-1B65-47FF-B09A-535A6A354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420</xdr:row>
          <xdr:rowOff>142876</xdr:rowOff>
        </xdr:from>
        <xdr:ext cx="742949" cy="228600"/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C23E6A57-D68B-49BC-9ACC-FA9D0402C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421</xdr:row>
          <xdr:rowOff>142876</xdr:rowOff>
        </xdr:from>
        <xdr:ext cx="742949" cy="228600"/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F35D14DD-4F83-462E-B2CF-520B2CEAB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422</xdr:row>
          <xdr:rowOff>142876</xdr:rowOff>
        </xdr:from>
        <xdr:ext cx="742949" cy="228600"/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1BAA8D69-19E5-4429-A300-C7936A8B9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423</xdr:row>
          <xdr:rowOff>142876</xdr:rowOff>
        </xdr:from>
        <xdr:ext cx="742949" cy="228600"/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3CBB153E-34A9-41AB-9EA9-C7C2F4FE5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424</xdr:row>
          <xdr:rowOff>142876</xdr:rowOff>
        </xdr:from>
        <xdr:ext cx="742949" cy="228600"/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A25001FA-0046-46DA-96A4-3FF808D87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425</xdr:row>
          <xdr:rowOff>142876</xdr:rowOff>
        </xdr:from>
        <xdr:ext cx="742949" cy="228600"/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4999E68A-039C-4BFE-A56F-8E58DDC0F5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426</xdr:row>
          <xdr:rowOff>142876</xdr:rowOff>
        </xdr:from>
        <xdr:ext cx="742949" cy="228600"/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9BD72FE-8255-4313-9DE6-78ECCDE45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427</xdr:row>
          <xdr:rowOff>142876</xdr:rowOff>
        </xdr:from>
        <xdr:ext cx="742949" cy="228600"/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2513C961-A5FC-4446-BBEE-0DDD0C7AB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428</xdr:row>
          <xdr:rowOff>142876</xdr:rowOff>
        </xdr:from>
        <xdr:ext cx="742949" cy="228600"/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60369164-C8B8-4421-A5BA-178569A5C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429</xdr:row>
          <xdr:rowOff>142876</xdr:rowOff>
        </xdr:from>
        <xdr:ext cx="742949" cy="228600"/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89F00BCB-988F-47BC-927B-94E48A5FA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430</xdr:row>
          <xdr:rowOff>142876</xdr:rowOff>
        </xdr:from>
        <xdr:ext cx="742949" cy="228600"/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73400846-9E42-48C7-A7CC-F7B377244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431</xdr:row>
          <xdr:rowOff>142876</xdr:rowOff>
        </xdr:from>
        <xdr:ext cx="742949" cy="228600"/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AFF9F2C7-7E74-4A5E-BF62-7E8024508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432</xdr:row>
          <xdr:rowOff>142876</xdr:rowOff>
        </xdr:from>
        <xdr:ext cx="742949" cy="228600"/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349E8C96-8BFE-4BB2-9152-B5066767E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433</xdr:row>
          <xdr:rowOff>142876</xdr:rowOff>
        </xdr:from>
        <xdr:ext cx="742949" cy="228600"/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DAD8BB25-FA3E-4CE8-BD56-2F390ADA64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434</xdr:row>
          <xdr:rowOff>142876</xdr:rowOff>
        </xdr:from>
        <xdr:ext cx="742949" cy="228600"/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23ED939D-BEF3-44B2-A780-5E4E9A853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435</xdr:row>
          <xdr:rowOff>142876</xdr:rowOff>
        </xdr:from>
        <xdr:ext cx="742949" cy="228600"/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86CCB159-A5A9-4829-AFD3-3EEB5F6C0B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436</xdr:row>
          <xdr:rowOff>142876</xdr:rowOff>
        </xdr:from>
        <xdr:ext cx="742949" cy="228600"/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D5FC9105-98B3-4382-826A-3F9CF62E40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437</xdr:row>
          <xdr:rowOff>142876</xdr:rowOff>
        </xdr:from>
        <xdr:ext cx="742949" cy="228600"/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FD9E6203-7DE6-47C2-8B85-837C27438A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438</xdr:row>
          <xdr:rowOff>142876</xdr:rowOff>
        </xdr:from>
        <xdr:ext cx="742949" cy="228600"/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A18EBD42-F47F-4FCE-AA97-849E1D52A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439</xdr:row>
          <xdr:rowOff>142876</xdr:rowOff>
        </xdr:from>
        <xdr:ext cx="742949" cy="228600"/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9C5DA89B-6149-43A6-85E8-8B68D1C14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440</xdr:row>
          <xdr:rowOff>142876</xdr:rowOff>
        </xdr:from>
        <xdr:ext cx="742949" cy="228600"/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A61795F0-B48F-4E3D-AA23-A6E614BF1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441</xdr:row>
          <xdr:rowOff>142876</xdr:rowOff>
        </xdr:from>
        <xdr:ext cx="742949" cy="228600"/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C441067E-0902-4F9D-AFBA-243C9C2AA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442</xdr:row>
          <xdr:rowOff>142876</xdr:rowOff>
        </xdr:from>
        <xdr:ext cx="742949" cy="228600"/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AC74FFA7-9D5A-4095-BE5D-AC34FB000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443</xdr:row>
          <xdr:rowOff>142876</xdr:rowOff>
        </xdr:from>
        <xdr:ext cx="742949" cy="228600"/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8CFE1562-AFCF-440B-914F-A57E553AB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444</xdr:row>
          <xdr:rowOff>142876</xdr:rowOff>
        </xdr:from>
        <xdr:ext cx="742949" cy="228600"/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3A9486F5-9113-4F25-A9BB-7DD2158B2A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445</xdr:row>
          <xdr:rowOff>142876</xdr:rowOff>
        </xdr:from>
        <xdr:ext cx="742949" cy="228600"/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FD05FC95-C61B-47B1-9F4B-A11941D5CF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446</xdr:row>
          <xdr:rowOff>142876</xdr:rowOff>
        </xdr:from>
        <xdr:ext cx="742949" cy="228600"/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EF317DB7-056A-4F2B-B39B-CD445BEA5E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447</xdr:row>
          <xdr:rowOff>142876</xdr:rowOff>
        </xdr:from>
        <xdr:ext cx="742949" cy="228600"/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5E62FDA4-F39D-43AF-88AA-EF3F76E4C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448</xdr:row>
          <xdr:rowOff>142876</xdr:rowOff>
        </xdr:from>
        <xdr:ext cx="742949" cy="228600"/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94295C7A-E958-487A-B8EA-7A720C068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449</xdr:row>
          <xdr:rowOff>142876</xdr:rowOff>
        </xdr:from>
        <xdr:ext cx="742949" cy="228600"/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6923CBF-B722-4F0D-B494-60A9735D5A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450</xdr:row>
          <xdr:rowOff>142876</xdr:rowOff>
        </xdr:from>
        <xdr:ext cx="742949" cy="228600"/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6B568D69-2E55-42C7-BE97-1578D5A18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451</xdr:row>
          <xdr:rowOff>142876</xdr:rowOff>
        </xdr:from>
        <xdr:ext cx="742949" cy="228600"/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DA505B9-4EF4-4B12-924D-72F8DC1B6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452</xdr:row>
          <xdr:rowOff>142876</xdr:rowOff>
        </xdr:from>
        <xdr:ext cx="742949" cy="228600"/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AC9C87D6-96FA-4F95-956F-A0632BCE14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453</xdr:row>
          <xdr:rowOff>142876</xdr:rowOff>
        </xdr:from>
        <xdr:ext cx="742949" cy="228600"/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E8A63CA4-270E-4551-938D-84E069EF0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454</xdr:row>
          <xdr:rowOff>142876</xdr:rowOff>
        </xdr:from>
        <xdr:ext cx="742949" cy="228600"/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2D88FFB1-47C6-458D-AE72-46659BC1B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455</xdr:row>
          <xdr:rowOff>142876</xdr:rowOff>
        </xdr:from>
        <xdr:ext cx="742949" cy="228600"/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C7519D0D-247C-4451-A18C-69F49955B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456</xdr:row>
          <xdr:rowOff>142876</xdr:rowOff>
        </xdr:from>
        <xdr:ext cx="742949" cy="228600"/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ADFB3C0-7408-4BE4-B1AC-DBE897D805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457</xdr:row>
          <xdr:rowOff>142876</xdr:rowOff>
        </xdr:from>
        <xdr:ext cx="742949" cy="228600"/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86B32273-AE92-4227-8646-EDD5F2113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458</xdr:row>
          <xdr:rowOff>142876</xdr:rowOff>
        </xdr:from>
        <xdr:ext cx="742949" cy="228600"/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4BE2011C-9E4E-4B00-95ED-FE7972D7A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459</xdr:row>
          <xdr:rowOff>142876</xdr:rowOff>
        </xdr:from>
        <xdr:ext cx="742949" cy="228600"/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7C4AB698-002B-43C7-A796-85FE56458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460</xdr:row>
          <xdr:rowOff>142876</xdr:rowOff>
        </xdr:from>
        <xdr:ext cx="742949" cy="228600"/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78C319FF-32B0-4964-9194-B4EC33703D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461</xdr:row>
          <xdr:rowOff>142876</xdr:rowOff>
        </xdr:from>
        <xdr:ext cx="742949" cy="228600"/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D17866D4-8244-4F12-A1A1-E464BDC91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462</xdr:row>
          <xdr:rowOff>142876</xdr:rowOff>
        </xdr:from>
        <xdr:ext cx="742949" cy="228600"/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D9FB4B7C-79C4-456C-9580-F7F75A670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463</xdr:row>
          <xdr:rowOff>142876</xdr:rowOff>
        </xdr:from>
        <xdr:ext cx="742949" cy="228600"/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60D7FB03-7288-41C6-A42F-22C98BE8CE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464</xdr:row>
          <xdr:rowOff>142876</xdr:rowOff>
        </xdr:from>
        <xdr:ext cx="742949" cy="228600"/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123928E6-ADB7-40E1-8BCC-8DF439EC4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465</xdr:row>
          <xdr:rowOff>142876</xdr:rowOff>
        </xdr:from>
        <xdr:ext cx="742949" cy="228600"/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12AA118B-FA45-4A6F-915C-001C701D6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466</xdr:row>
          <xdr:rowOff>142876</xdr:rowOff>
        </xdr:from>
        <xdr:ext cx="742949" cy="228600"/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3DF6E9B2-E352-47A0-B3B1-6FDAC3242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467</xdr:row>
          <xdr:rowOff>142876</xdr:rowOff>
        </xdr:from>
        <xdr:ext cx="742949" cy="228600"/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E247303C-77C6-467C-B3A3-7C1EC8B9C3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468</xdr:row>
          <xdr:rowOff>142876</xdr:rowOff>
        </xdr:from>
        <xdr:ext cx="742949" cy="228600"/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E32295F4-0BEC-497B-8096-15F3261D7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469</xdr:row>
          <xdr:rowOff>142876</xdr:rowOff>
        </xdr:from>
        <xdr:ext cx="742949" cy="228600"/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2B3E44AD-C800-4421-9F1B-BE4B238FB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470</xdr:row>
          <xdr:rowOff>142876</xdr:rowOff>
        </xdr:from>
        <xdr:ext cx="742949" cy="228600"/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8A124B0C-8278-45BF-ABC0-B79E453B7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471</xdr:row>
          <xdr:rowOff>142876</xdr:rowOff>
        </xdr:from>
        <xdr:ext cx="742949" cy="228600"/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52C76-A35F-41F7-B143-2207B2D06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472</xdr:row>
          <xdr:rowOff>142876</xdr:rowOff>
        </xdr:from>
        <xdr:ext cx="742949" cy="228600"/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6F0721C3-E7FD-4F0B-BB44-9E15A22FA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473</xdr:row>
          <xdr:rowOff>142876</xdr:rowOff>
        </xdr:from>
        <xdr:ext cx="742949" cy="228600"/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6894D1BC-E5ED-4B4D-9454-7AC9C6F87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474</xdr:row>
          <xdr:rowOff>142876</xdr:rowOff>
        </xdr:from>
        <xdr:ext cx="742949" cy="228600"/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BB9DBB76-0FBF-4AFC-869C-F95C35EC0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475</xdr:row>
          <xdr:rowOff>142876</xdr:rowOff>
        </xdr:from>
        <xdr:ext cx="742949" cy="228600"/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EC7ABEC5-14CF-4A4D-89A0-494BB3E06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476</xdr:row>
          <xdr:rowOff>142876</xdr:rowOff>
        </xdr:from>
        <xdr:ext cx="742949" cy="228600"/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4E0B76A4-B1D6-47CC-A792-757CD9DE9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477</xdr:row>
          <xdr:rowOff>142876</xdr:rowOff>
        </xdr:from>
        <xdr:ext cx="742949" cy="228600"/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1E4BEDAB-9F67-44CE-A769-B1F95ACDD9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478</xdr:row>
          <xdr:rowOff>142876</xdr:rowOff>
        </xdr:from>
        <xdr:ext cx="742949" cy="228600"/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1FB38F93-D184-4A59-9D6A-5275571622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479</xdr:row>
          <xdr:rowOff>142876</xdr:rowOff>
        </xdr:from>
        <xdr:ext cx="742949" cy="228600"/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9FE196F9-8E57-4950-B2F4-147635EE2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480</xdr:row>
          <xdr:rowOff>142876</xdr:rowOff>
        </xdr:from>
        <xdr:ext cx="742949" cy="228600"/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AFAE15FB-9479-4C3C-990A-A8502BFE70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481</xdr:row>
          <xdr:rowOff>142876</xdr:rowOff>
        </xdr:from>
        <xdr:ext cx="742949" cy="228600"/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5EF10660-015C-44C8-8980-7EF7EDEBF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482</xdr:row>
          <xdr:rowOff>142876</xdr:rowOff>
        </xdr:from>
        <xdr:ext cx="742949" cy="228600"/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1A1D0FFF-665D-4356-B428-BB8EA5B189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483</xdr:row>
          <xdr:rowOff>142876</xdr:rowOff>
        </xdr:from>
        <xdr:ext cx="742949" cy="228600"/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CE07EAD5-5EDC-4192-84EB-0FB69D027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484</xdr:row>
          <xdr:rowOff>142876</xdr:rowOff>
        </xdr:from>
        <xdr:ext cx="742949" cy="228600"/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F3125CDC-DF3B-4B94-96A8-B7CA5948D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485</xdr:row>
          <xdr:rowOff>142876</xdr:rowOff>
        </xdr:from>
        <xdr:ext cx="742949" cy="228600"/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7525AB6-771B-4928-BC35-F9102C489A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486</xdr:row>
          <xdr:rowOff>142876</xdr:rowOff>
        </xdr:from>
        <xdr:ext cx="742949" cy="228600"/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4138D285-5D75-42A2-9F8A-1EF0F59829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487</xdr:row>
          <xdr:rowOff>142876</xdr:rowOff>
        </xdr:from>
        <xdr:ext cx="742949" cy="228600"/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F178FE23-9769-4D1E-81AF-289D03082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488</xdr:row>
          <xdr:rowOff>142876</xdr:rowOff>
        </xdr:from>
        <xdr:ext cx="742949" cy="228600"/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8A4978AB-F0DC-4674-8CE8-70EDB459B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489</xdr:row>
          <xdr:rowOff>142876</xdr:rowOff>
        </xdr:from>
        <xdr:ext cx="742949" cy="228600"/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982AAF38-2446-4E26-8D90-3B1831B6F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490</xdr:row>
          <xdr:rowOff>142876</xdr:rowOff>
        </xdr:from>
        <xdr:ext cx="742949" cy="228600"/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E47C628B-806A-493D-9549-369581578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491</xdr:row>
          <xdr:rowOff>142876</xdr:rowOff>
        </xdr:from>
        <xdr:ext cx="742949" cy="228600"/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C834B4DE-5CE9-46D8-966A-256EC2188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492</xdr:row>
          <xdr:rowOff>142876</xdr:rowOff>
        </xdr:from>
        <xdr:ext cx="742949" cy="228600"/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1ACE0310-E4E2-4C0A-ACD3-7E47A11364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493</xdr:row>
          <xdr:rowOff>142876</xdr:rowOff>
        </xdr:from>
        <xdr:ext cx="742949" cy="228600"/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F420A0CB-AC32-4464-8C3B-81FE6653C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494</xdr:row>
          <xdr:rowOff>142876</xdr:rowOff>
        </xdr:from>
        <xdr:ext cx="742949" cy="228600"/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5B30C612-B60D-4A32-99E4-0F21BB6E3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495</xdr:row>
          <xdr:rowOff>142876</xdr:rowOff>
        </xdr:from>
        <xdr:ext cx="742949" cy="228600"/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4D8DD19A-5745-4D8C-8C87-BC64C14AE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496</xdr:row>
          <xdr:rowOff>142876</xdr:rowOff>
        </xdr:from>
        <xdr:ext cx="742949" cy="228600"/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2872ED81-1458-4E5B-B224-59DDF02D6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497</xdr:row>
          <xdr:rowOff>142876</xdr:rowOff>
        </xdr:from>
        <xdr:ext cx="742949" cy="228600"/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A9826E7F-2A37-4149-95AE-4FD3BB2CD6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498</xdr:row>
          <xdr:rowOff>142876</xdr:rowOff>
        </xdr:from>
        <xdr:ext cx="742949" cy="228600"/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D0F51626-9855-47F2-BA8E-B749A59B9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499</xdr:row>
          <xdr:rowOff>142876</xdr:rowOff>
        </xdr:from>
        <xdr:ext cx="742949" cy="228600"/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5BBE651C-EB84-4F74-97DA-430E4DC9A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500</xdr:row>
          <xdr:rowOff>142876</xdr:rowOff>
        </xdr:from>
        <xdr:ext cx="742949" cy="228600"/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B4D39644-D0C6-4D20-9374-4F78385B7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501</xdr:row>
          <xdr:rowOff>142876</xdr:rowOff>
        </xdr:from>
        <xdr:ext cx="742949" cy="228600"/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3F3840C5-FEB2-4A5C-AAF7-04DD9DE295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502</xdr:row>
          <xdr:rowOff>142876</xdr:rowOff>
        </xdr:from>
        <xdr:ext cx="742949" cy="228600"/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D6F0D563-AF05-4E40-83D8-FB0778123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503</xdr:row>
          <xdr:rowOff>142876</xdr:rowOff>
        </xdr:from>
        <xdr:ext cx="742949" cy="228600"/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5349ACF4-CDF9-49D4-ACEA-62D20F5C6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504</xdr:row>
          <xdr:rowOff>142876</xdr:rowOff>
        </xdr:from>
        <xdr:ext cx="742949" cy="228600"/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83CBF7A1-E4F3-4434-A432-45B5AA5E9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505</xdr:row>
          <xdr:rowOff>142876</xdr:rowOff>
        </xdr:from>
        <xdr:ext cx="742949" cy="228600"/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BDF7710C-FF06-4456-9B6B-262163F61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506</xdr:row>
          <xdr:rowOff>142876</xdr:rowOff>
        </xdr:from>
        <xdr:ext cx="742949" cy="228600"/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E150B9AE-2E27-4320-9FB3-DC987FD65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507</xdr:row>
          <xdr:rowOff>142876</xdr:rowOff>
        </xdr:from>
        <xdr:ext cx="742949" cy="228600"/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1712F98E-9548-473B-B05B-56C38D7E9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508</xdr:row>
          <xdr:rowOff>142876</xdr:rowOff>
        </xdr:from>
        <xdr:ext cx="742949" cy="228600"/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D4D50776-02B7-474B-97C2-8ED2D9E34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509</xdr:row>
          <xdr:rowOff>142876</xdr:rowOff>
        </xdr:from>
        <xdr:ext cx="742949" cy="228600"/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6398EC7-CD0C-4E60-9C95-657F0C949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510</xdr:row>
          <xdr:rowOff>142876</xdr:rowOff>
        </xdr:from>
        <xdr:ext cx="742949" cy="228600"/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BA6DFFFD-DD9A-44D8-943E-72D1C7443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511</xdr:row>
          <xdr:rowOff>142876</xdr:rowOff>
        </xdr:from>
        <xdr:ext cx="742949" cy="228600"/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6DAFD23B-0F59-4A87-B18D-61852098B4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512</xdr:row>
          <xdr:rowOff>142876</xdr:rowOff>
        </xdr:from>
        <xdr:ext cx="742949" cy="228600"/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B7D1A9DD-6E8C-4805-B809-973462428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513</xdr:row>
          <xdr:rowOff>142876</xdr:rowOff>
        </xdr:from>
        <xdr:ext cx="742949" cy="228600"/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28ECA60-2E63-4FCA-BD8F-5D06DD0F6E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514</xdr:row>
          <xdr:rowOff>142876</xdr:rowOff>
        </xdr:from>
        <xdr:ext cx="742949" cy="228600"/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359154EA-76F8-4579-A160-3D9FA7358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515</xdr:row>
          <xdr:rowOff>142876</xdr:rowOff>
        </xdr:from>
        <xdr:ext cx="742949" cy="228600"/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9FD1F775-ED69-49E7-95C3-E2324789A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516</xdr:row>
          <xdr:rowOff>142876</xdr:rowOff>
        </xdr:from>
        <xdr:ext cx="742949" cy="228600"/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20696ADD-4C7A-4679-A4EA-A35824CF7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517</xdr:row>
          <xdr:rowOff>142876</xdr:rowOff>
        </xdr:from>
        <xdr:ext cx="742949" cy="228600"/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E9CB986D-FB39-4AE5-A442-8784A7A71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518</xdr:row>
          <xdr:rowOff>142876</xdr:rowOff>
        </xdr:from>
        <xdr:ext cx="742949" cy="228600"/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F2A2793F-BA2A-45DD-AF32-85779AC518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519</xdr:row>
          <xdr:rowOff>142876</xdr:rowOff>
        </xdr:from>
        <xdr:ext cx="742949" cy="228600"/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8575E46-04F9-4002-A9B6-9BF7ABD165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520</xdr:row>
          <xdr:rowOff>142876</xdr:rowOff>
        </xdr:from>
        <xdr:ext cx="742949" cy="228600"/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FCD0EBA-09BD-4FBA-A1CF-E27BD03F0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521</xdr:row>
          <xdr:rowOff>142876</xdr:rowOff>
        </xdr:from>
        <xdr:ext cx="742949" cy="228600"/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C85D6242-A7BA-49C3-9BB9-09E0B2C00E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522</xdr:row>
          <xdr:rowOff>142876</xdr:rowOff>
        </xdr:from>
        <xdr:ext cx="742949" cy="228600"/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7A969DDB-AD99-4BD3-AE8D-BAFAC5AC4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523</xdr:row>
          <xdr:rowOff>142876</xdr:rowOff>
        </xdr:from>
        <xdr:ext cx="742949" cy="228600"/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23C74C7-11CC-4267-BE4E-AC7FCE4A0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524</xdr:row>
          <xdr:rowOff>142876</xdr:rowOff>
        </xdr:from>
        <xdr:ext cx="742949" cy="228600"/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B76B47F9-B029-4E57-BCE4-209CAAC4A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525</xdr:row>
          <xdr:rowOff>142876</xdr:rowOff>
        </xdr:from>
        <xdr:ext cx="742949" cy="228600"/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4E8EEAD2-4F9F-40BC-A728-8B10758A3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526</xdr:row>
          <xdr:rowOff>142876</xdr:rowOff>
        </xdr:from>
        <xdr:ext cx="742949" cy="228600"/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5C8915E6-6C96-4D24-8438-693EE628C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527</xdr:row>
          <xdr:rowOff>142876</xdr:rowOff>
        </xdr:from>
        <xdr:ext cx="742949" cy="228600"/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D7B7DDDB-ED6D-4B31-8161-F6A677EECE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528</xdr:row>
          <xdr:rowOff>142876</xdr:rowOff>
        </xdr:from>
        <xdr:ext cx="742949" cy="228600"/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20702C11-BCA6-435E-AE5A-E20BBE818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529</xdr:row>
          <xdr:rowOff>142876</xdr:rowOff>
        </xdr:from>
        <xdr:ext cx="742949" cy="228600"/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D9F00A85-209A-4DA1-9CDE-913476787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530</xdr:row>
          <xdr:rowOff>142876</xdr:rowOff>
        </xdr:from>
        <xdr:ext cx="742949" cy="228600"/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45F590D7-3E0C-4F25-96E8-C1BDA288B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531</xdr:row>
          <xdr:rowOff>142876</xdr:rowOff>
        </xdr:from>
        <xdr:ext cx="742949" cy="228600"/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86350194-3F9A-4A50-BAD7-6E636E2801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532</xdr:row>
          <xdr:rowOff>142876</xdr:rowOff>
        </xdr:from>
        <xdr:ext cx="742949" cy="228600"/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DD4221CB-A154-48B6-9795-4F70B8894E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533</xdr:row>
          <xdr:rowOff>142876</xdr:rowOff>
        </xdr:from>
        <xdr:ext cx="742949" cy="228600"/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5DCA2EF9-9991-4ABD-8E74-52737B3BC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534</xdr:row>
          <xdr:rowOff>142876</xdr:rowOff>
        </xdr:from>
        <xdr:ext cx="742949" cy="228600"/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202FC22-B571-4644-BE27-79792BD89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535</xdr:row>
          <xdr:rowOff>142876</xdr:rowOff>
        </xdr:from>
        <xdr:ext cx="742949" cy="228600"/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C2020C1A-13FD-4B02-A046-13E149ED2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536</xdr:row>
          <xdr:rowOff>142876</xdr:rowOff>
        </xdr:from>
        <xdr:ext cx="742949" cy="228600"/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A028A179-18EE-46C9-8BA0-807BCAF34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537</xdr:row>
          <xdr:rowOff>142876</xdr:rowOff>
        </xdr:from>
        <xdr:ext cx="742949" cy="228600"/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68BCED08-AD1F-4966-B182-363A91100B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538</xdr:row>
          <xdr:rowOff>142876</xdr:rowOff>
        </xdr:from>
        <xdr:ext cx="742949" cy="228600"/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C0D0A68F-4C3C-42FF-81CF-76140331EB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539</xdr:row>
          <xdr:rowOff>142876</xdr:rowOff>
        </xdr:from>
        <xdr:ext cx="742949" cy="228600"/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2E3EAC8C-7D7C-49F5-AC1A-A7A6EFB1C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540</xdr:row>
          <xdr:rowOff>142876</xdr:rowOff>
        </xdr:from>
        <xdr:ext cx="742949" cy="228600"/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A45142CE-7C09-4E9F-908E-16B89871C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541</xdr:row>
          <xdr:rowOff>142876</xdr:rowOff>
        </xdr:from>
        <xdr:ext cx="742949" cy="228600"/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8936491F-609C-43BC-8168-DD946B129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542</xdr:row>
          <xdr:rowOff>142876</xdr:rowOff>
        </xdr:from>
        <xdr:ext cx="742949" cy="228600"/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1A480D47-4890-4537-A109-0C436A1E0B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543</xdr:row>
          <xdr:rowOff>142876</xdr:rowOff>
        </xdr:from>
        <xdr:ext cx="742949" cy="228600"/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15E49659-318C-4700-91FB-8D7CF075F9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544</xdr:row>
          <xdr:rowOff>142876</xdr:rowOff>
        </xdr:from>
        <xdr:ext cx="742949" cy="228600"/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26904ED8-DD02-4965-82E8-AB81F8F69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545</xdr:row>
          <xdr:rowOff>142876</xdr:rowOff>
        </xdr:from>
        <xdr:ext cx="742949" cy="228600"/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4E79E9AD-8C0A-49DA-8F30-B7FFE3CDC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546</xdr:row>
          <xdr:rowOff>142876</xdr:rowOff>
        </xdr:from>
        <xdr:ext cx="742949" cy="228600"/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82D19A16-023B-42FD-9A62-6C8854D349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547</xdr:row>
          <xdr:rowOff>142876</xdr:rowOff>
        </xdr:from>
        <xdr:ext cx="742949" cy="228600"/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EB47A738-17B0-4732-A9E4-8EC22011D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548</xdr:row>
          <xdr:rowOff>142876</xdr:rowOff>
        </xdr:from>
        <xdr:ext cx="742949" cy="228600"/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E9E37214-2F55-4EB3-B748-494627200B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549</xdr:row>
          <xdr:rowOff>142876</xdr:rowOff>
        </xdr:from>
        <xdr:ext cx="742949" cy="228600"/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41288550-E3C0-42C1-9A2F-B5F10EB408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550</xdr:row>
          <xdr:rowOff>142876</xdr:rowOff>
        </xdr:from>
        <xdr:ext cx="742949" cy="228600"/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79157D10-D70D-4042-A847-A154A5D57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551</xdr:row>
          <xdr:rowOff>142876</xdr:rowOff>
        </xdr:from>
        <xdr:ext cx="742949" cy="228600"/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60494752-5153-4413-85A0-13B034E0A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552</xdr:row>
          <xdr:rowOff>142876</xdr:rowOff>
        </xdr:from>
        <xdr:ext cx="742949" cy="228600"/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E622A25D-1602-4CD5-8799-A4A7E7F36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553</xdr:row>
          <xdr:rowOff>142876</xdr:rowOff>
        </xdr:from>
        <xdr:ext cx="742949" cy="228600"/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65AE2B0B-ED6B-4AAC-B621-229E55344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554</xdr:row>
          <xdr:rowOff>142876</xdr:rowOff>
        </xdr:from>
        <xdr:ext cx="742949" cy="228600"/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45E16B8F-991B-4DCF-867F-BE4A6A894B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555</xdr:row>
          <xdr:rowOff>142876</xdr:rowOff>
        </xdr:from>
        <xdr:ext cx="742949" cy="228600"/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EBA08AF6-9C00-42BD-89D1-5758AF923C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556</xdr:row>
          <xdr:rowOff>142876</xdr:rowOff>
        </xdr:from>
        <xdr:ext cx="742949" cy="228600"/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BBA5D854-7FAB-4A28-81F8-2E99AEAE1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557</xdr:row>
          <xdr:rowOff>142876</xdr:rowOff>
        </xdr:from>
        <xdr:ext cx="742949" cy="228600"/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82FCC15D-C661-4EC4-A02C-6365B386E2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558</xdr:row>
          <xdr:rowOff>142876</xdr:rowOff>
        </xdr:from>
        <xdr:ext cx="742949" cy="228600"/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84B0B27A-E039-4D60-8788-3D165A83FF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559</xdr:row>
          <xdr:rowOff>142876</xdr:rowOff>
        </xdr:from>
        <xdr:ext cx="742949" cy="228600"/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5D76E9F9-EF60-4384-A1B3-AD0C177E1A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560</xdr:row>
          <xdr:rowOff>142876</xdr:rowOff>
        </xdr:from>
        <xdr:ext cx="742949" cy="228600"/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77CC4E3B-7BAF-41ED-95D7-33C18DB81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561</xdr:row>
          <xdr:rowOff>142876</xdr:rowOff>
        </xdr:from>
        <xdr:ext cx="742949" cy="228600"/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2E9F6351-28FF-4C2E-AC66-8F191D766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562</xdr:row>
          <xdr:rowOff>142876</xdr:rowOff>
        </xdr:from>
        <xdr:ext cx="742949" cy="228600"/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DC2EDFB3-D479-4861-8FD9-0A7BCE141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563</xdr:row>
          <xdr:rowOff>142876</xdr:rowOff>
        </xdr:from>
        <xdr:ext cx="742949" cy="228600"/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11975AA2-F96C-4925-A749-1B3EC92FA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564</xdr:row>
          <xdr:rowOff>142876</xdr:rowOff>
        </xdr:from>
        <xdr:ext cx="742949" cy="228600"/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CEA63D4F-05F3-4DF9-9FDA-88895436A4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565</xdr:row>
          <xdr:rowOff>142876</xdr:rowOff>
        </xdr:from>
        <xdr:ext cx="742949" cy="228600"/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D4D093EC-3540-4AC5-8670-CAA4410F4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566</xdr:row>
          <xdr:rowOff>142876</xdr:rowOff>
        </xdr:from>
        <xdr:ext cx="742949" cy="228600"/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618F8641-A277-4941-8E3F-F73167327B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567</xdr:row>
          <xdr:rowOff>142876</xdr:rowOff>
        </xdr:from>
        <xdr:ext cx="742949" cy="228600"/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87FABA0B-39C4-4091-83F9-EF94F8C16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568</xdr:row>
          <xdr:rowOff>142876</xdr:rowOff>
        </xdr:from>
        <xdr:ext cx="742949" cy="228600"/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31A4B0DE-1979-4C65-9D26-2218967151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569</xdr:row>
          <xdr:rowOff>142876</xdr:rowOff>
        </xdr:from>
        <xdr:ext cx="742949" cy="228600"/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C0BE0753-879A-465D-BB47-10E9D7BDA5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570</xdr:row>
          <xdr:rowOff>142876</xdr:rowOff>
        </xdr:from>
        <xdr:ext cx="742949" cy="228600"/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39AA3681-AFF7-4597-9DC4-E23CDBD236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571</xdr:row>
          <xdr:rowOff>142876</xdr:rowOff>
        </xdr:from>
        <xdr:ext cx="742949" cy="228600"/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6D3F6463-6BCC-43B4-9C50-D12A55A1B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572</xdr:row>
          <xdr:rowOff>142876</xdr:rowOff>
        </xdr:from>
        <xdr:ext cx="742949" cy="228600"/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F8DE7160-FC00-4E54-9A8B-47240F996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573</xdr:row>
          <xdr:rowOff>142876</xdr:rowOff>
        </xdr:from>
        <xdr:ext cx="742949" cy="228600"/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B499A1E4-32C4-4026-9D82-20E4943B2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574</xdr:row>
          <xdr:rowOff>142876</xdr:rowOff>
        </xdr:from>
        <xdr:ext cx="742949" cy="228600"/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8609E2BE-63A5-41BF-8E6B-18BE0B2026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575</xdr:row>
          <xdr:rowOff>142876</xdr:rowOff>
        </xdr:from>
        <xdr:ext cx="742949" cy="228600"/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BEF9051D-3B5B-499C-8A5E-926247886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576</xdr:row>
          <xdr:rowOff>142876</xdr:rowOff>
        </xdr:from>
        <xdr:ext cx="742949" cy="228600"/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5DC46F2E-3A8B-4EFD-A370-13F5DD7D0C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577</xdr:row>
          <xdr:rowOff>142876</xdr:rowOff>
        </xdr:from>
        <xdr:ext cx="742949" cy="228600"/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4BE13AE7-B541-4D89-B0A2-7C7D65176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578</xdr:row>
          <xdr:rowOff>142876</xdr:rowOff>
        </xdr:from>
        <xdr:ext cx="742949" cy="228600"/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602B2B1D-776B-4292-AC52-B5E74CEFC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579</xdr:row>
          <xdr:rowOff>142876</xdr:rowOff>
        </xdr:from>
        <xdr:ext cx="742949" cy="228600"/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8F794946-68B4-44BE-86FF-B133B5FD08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580</xdr:row>
          <xdr:rowOff>142876</xdr:rowOff>
        </xdr:from>
        <xdr:ext cx="742949" cy="228600"/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248270D7-1837-4C6F-BFC4-96EC6EB23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581</xdr:row>
          <xdr:rowOff>142876</xdr:rowOff>
        </xdr:from>
        <xdr:ext cx="742949" cy="228600"/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FBE867C2-6C9D-4BED-8758-46B78387C4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582</xdr:row>
          <xdr:rowOff>142876</xdr:rowOff>
        </xdr:from>
        <xdr:ext cx="742949" cy="228600"/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8631AD8E-11C4-4C5C-B3CC-BB13064A5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583</xdr:row>
          <xdr:rowOff>142876</xdr:rowOff>
        </xdr:from>
        <xdr:ext cx="742949" cy="228600"/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E9C54071-B576-4FA3-A24A-278E3021C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584</xdr:row>
          <xdr:rowOff>142876</xdr:rowOff>
        </xdr:from>
        <xdr:ext cx="742949" cy="228600"/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3FF65AE-012F-4C3A-825B-0A9EE22F8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585</xdr:row>
          <xdr:rowOff>142876</xdr:rowOff>
        </xdr:from>
        <xdr:ext cx="742949" cy="228600"/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28BE8BCB-25E4-4D18-8591-92D657EAE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586</xdr:row>
          <xdr:rowOff>142876</xdr:rowOff>
        </xdr:from>
        <xdr:ext cx="742949" cy="228600"/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41991A2E-9B8F-4D47-8043-E2E33398FC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587</xdr:row>
          <xdr:rowOff>142876</xdr:rowOff>
        </xdr:from>
        <xdr:ext cx="742949" cy="228600"/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F859D6A1-1850-48E2-8744-CE656EA0AF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588</xdr:row>
          <xdr:rowOff>142876</xdr:rowOff>
        </xdr:from>
        <xdr:ext cx="742949" cy="228600"/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E86253B7-C4AC-4293-A809-2E08A9620C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589</xdr:row>
          <xdr:rowOff>142876</xdr:rowOff>
        </xdr:from>
        <xdr:ext cx="742949" cy="228600"/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EE2376B7-2984-46E9-ACB3-C36D59FF8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590</xdr:row>
          <xdr:rowOff>142876</xdr:rowOff>
        </xdr:from>
        <xdr:ext cx="742949" cy="228600"/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ABA6FD06-3E1F-4A21-BA64-60A77758AD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591</xdr:row>
          <xdr:rowOff>142876</xdr:rowOff>
        </xdr:from>
        <xdr:ext cx="742949" cy="228600"/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70CBEC0F-5331-47E6-B28F-52E20B795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592</xdr:row>
          <xdr:rowOff>142876</xdr:rowOff>
        </xdr:from>
        <xdr:ext cx="742949" cy="228600"/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78F52EC4-19FC-4826-93FA-0F7C836F3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593</xdr:row>
          <xdr:rowOff>142876</xdr:rowOff>
        </xdr:from>
        <xdr:ext cx="742949" cy="228600"/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9595065C-97E0-4D05-B67B-DB8B6FEAA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594</xdr:row>
          <xdr:rowOff>142876</xdr:rowOff>
        </xdr:from>
        <xdr:ext cx="742949" cy="228600"/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7BFF1A07-D37E-4E07-8418-B54F90B712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595</xdr:row>
          <xdr:rowOff>142876</xdr:rowOff>
        </xdr:from>
        <xdr:ext cx="742949" cy="228600"/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C5458769-6276-4FB0-9699-8D238E780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596</xdr:row>
          <xdr:rowOff>142876</xdr:rowOff>
        </xdr:from>
        <xdr:ext cx="742949" cy="228600"/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3D72D3A6-0504-48E6-ADE4-7F48F6B9C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597</xdr:row>
          <xdr:rowOff>142876</xdr:rowOff>
        </xdr:from>
        <xdr:ext cx="742949" cy="228600"/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C43BFCD9-95C2-435D-A7E3-9DDE33506F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598</xdr:row>
          <xdr:rowOff>142876</xdr:rowOff>
        </xdr:from>
        <xdr:ext cx="742949" cy="228600"/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180CA1CD-11E7-4671-A2F5-80C9519B48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599</xdr:row>
          <xdr:rowOff>142876</xdr:rowOff>
        </xdr:from>
        <xdr:ext cx="742949" cy="228600"/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6C66A652-901B-4098-B803-815D5DCA83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600</xdr:row>
          <xdr:rowOff>142876</xdr:rowOff>
        </xdr:from>
        <xdr:ext cx="742949" cy="228600"/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4A356CFA-82A3-49A9-B9AC-445D12BE1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601</xdr:row>
          <xdr:rowOff>142876</xdr:rowOff>
        </xdr:from>
        <xdr:ext cx="742949" cy="228600"/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E2B99ACB-876F-442D-9347-27527EBFF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602</xdr:row>
          <xdr:rowOff>142876</xdr:rowOff>
        </xdr:from>
        <xdr:ext cx="742949" cy="228600"/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8208A6EF-BBC8-4BEF-8C5B-69DD106B8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603</xdr:row>
          <xdr:rowOff>142876</xdr:rowOff>
        </xdr:from>
        <xdr:ext cx="742949" cy="228600"/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E486DEF-C951-4E3A-8529-51D919F04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604</xdr:row>
          <xdr:rowOff>142876</xdr:rowOff>
        </xdr:from>
        <xdr:ext cx="742949" cy="228600"/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340B57D6-8DDC-4157-8D1A-7C454E6DE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605</xdr:row>
          <xdr:rowOff>142876</xdr:rowOff>
        </xdr:from>
        <xdr:ext cx="742949" cy="228600"/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2E0B28E1-EC7C-4AD4-B05F-43BBD91EB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606</xdr:row>
          <xdr:rowOff>142876</xdr:rowOff>
        </xdr:from>
        <xdr:ext cx="742949" cy="228600"/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B61EA535-5CA0-4197-9CF2-23D91F132C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607</xdr:row>
          <xdr:rowOff>142876</xdr:rowOff>
        </xdr:from>
        <xdr:ext cx="742949" cy="228600"/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BB1178C0-6425-4463-89BF-6FEA50D99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608</xdr:row>
          <xdr:rowOff>142876</xdr:rowOff>
        </xdr:from>
        <xdr:ext cx="742949" cy="228600"/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8AE2C664-567F-48FB-806E-29C5D3C686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609</xdr:row>
          <xdr:rowOff>142876</xdr:rowOff>
        </xdr:from>
        <xdr:ext cx="742949" cy="228600"/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4BA93479-C2CF-4ACB-A26B-004D5404B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610</xdr:row>
          <xdr:rowOff>142876</xdr:rowOff>
        </xdr:from>
        <xdr:ext cx="742949" cy="228600"/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701B135D-5211-4B09-83E4-A263A56E3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611</xdr:row>
          <xdr:rowOff>142876</xdr:rowOff>
        </xdr:from>
        <xdr:ext cx="742949" cy="228600"/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68609E3B-633A-4FFB-B2BC-70B0289922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612</xdr:row>
          <xdr:rowOff>142876</xdr:rowOff>
        </xdr:from>
        <xdr:ext cx="742949" cy="228600"/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774FAE0D-2070-4559-A405-8D2EFDA8A6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613</xdr:row>
          <xdr:rowOff>142876</xdr:rowOff>
        </xdr:from>
        <xdr:ext cx="742949" cy="228600"/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49C01CF8-C832-4B18-B6D6-E60B5597C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614</xdr:row>
          <xdr:rowOff>142876</xdr:rowOff>
        </xdr:from>
        <xdr:ext cx="742949" cy="228600"/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C17F029A-4B96-4F97-84E1-8C4605E8E1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615</xdr:row>
          <xdr:rowOff>142876</xdr:rowOff>
        </xdr:from>
        <xdr:ext cx="742949" cy="228600"/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3307D95E-E835-468F-A251-51564E4F6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616</xdr:row>
          <xdr:rowOff>142876</xdr:rowOff>
        </xdr:from>
        <xdr:ext cx="742949" cy="228600"/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14862EA1-07D9-49C3-B9C5-A39B377C3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617</xdr:row>
          <xdr:rowOff>142876</xdr:rowOff>
        </xdr:from>
        <xdr:ext cx="742949" cy="228600"/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C8A94123-084B-4182-9AD3-7FCB35854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618</xdr:row>
          <xdr:rowOff>142876</xdr:rowOff>
        </xdr:from>
        <xdr:ext cx="742949" cy="228600"/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580A0ACC-6A37-4DC1-A23B-01AAE74127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619</xdr:row>
          <xdr:rowOff>142876</xdr:rowOff>
        </xdr:from>
        <xdr:ext cx="742949" cy="228600"/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51409233-740B-40A7-A903-FC924C5F9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620</xdr:row>
          <xdr:rowOff>142876</xdr:rowOff>
        </xdr:from>
        <xdr:ext cx="742949" cy="228600"/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887B87BD-1721-4947-8BAE-C5F5E11E62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621</xdr:row>
          <xdr:rowOff>142876</xdr:rowOff>
        </xdr:from>
        <xdr:ext cx="742949" cy="228600"/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B8A8E51-EE1E-4E05-A93D-118BBAB8A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622</xdr:row>
          <xdr:rowOff>142876</xdr:rowOff>
        </xdr:from>
        <xdr:ext cx="742949" cy="228600"/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7874E0C1-8547-4C2E-9450-F7E1E99CB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623</xdr:row>
          <xdr:rowOff>142876</xdr:rowOff>
        </xdr:from>
        <xdr:ext cx="742949" cy="228600"/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94A027FC-43C1-453E-ACB2-782C234550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624</xdr:row>
          <xdr:rowOff>142876</xdr:rowOff>
        </xdr:from>
        <xdr:ext cx="742949" cy="228600"/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5A0A7FEE-708A-4ADF-97D3-74818F1EA4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625</xdr:row>
          <xdr:rowOff>142876</xdr:rowOff>
        </xdr:from>
        <xdr:ext cx="742949" cy="228600"/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24C5772C-D215-4F59-9B5B-6F620EEF1B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626</xdr:row>
          <xdr:rowOff>142876</xdr:rowOff>
        </xdr:from>
        <xdr:ext cx="742949" cy="228600"/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644439DD-808D-48B8-8F71-690089222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627</xdr:row>
          <xdr:rowOff>142876</xdr:rowOff>
        </xdr:from>
        <xdr:ext cx="742949" cy="228600"/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23DA21BC-C028-4677-9E72-1A10A05D1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628</xdr:row>
          <xdr:rowOff>142876</xdr:rowOff>
        </xdr:from>
        <xdr:ext cx="742949" cy="228600"/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8A47CCA8-2AD6-4815-AEB0-0D1C5755B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629</xdr:row>
          <xdr:rowOff>142876</xdr:rowOff>
        </xdr:from>
        <xdr:ext cx="742949" cy="228600"/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D1DC8061-4AA6-4C2A-8DC9-60D93F78C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630</xdr:row>
          <xdr:rowOff>142876</xdr:rowOff>
        </xdr:from>
        <xdr:ext cx="742949" cy="228600"/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2D495857-CD13-4C40-A47E-073230B86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631</xdr:row>
          <xdr:rowOff>142876</xdr:rowOff>
        </xdr:from>
        <xdr:ext cx="742949" cy="228600"/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71E55491-D660-4D6A-9C8E-EA944A46F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632</xdr:row>
          <xdr:rowOff>142876</xdr:rowOff>
        </xdr:from>
        <xdr:ext cx="742949" cy="228600"/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FB06FD0F-EE06-4836-9701-027ACB2A4F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633</xdr:row>
          <xdr:rowOff>142876</xdr:rowOff>
        </xdr:from>
        <xdr:ext cx="742949" cy="228600"/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1EABE9E7-5413-4B80-978F-88DA7814AC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634</xdr:row>
          <xdr:rowOff>142876</xdr:rowOff>
        </xdr:from>
        <xdr:ext cx="742949" cy="228600"/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E3EE61D6-F828-4F0F-997E-09331C70C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635</xdr:row>
          <xdr:rowOff>142876</xdr:rowOff>
        </xdr:from>
        <xdr:ext cx="742949" cy="228600"/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77E71AB0-5A1A-4593-8E43-C78817A79B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636</xdr:row>
          <xdr:rowOff>142876</xdr:rowOff>
        </xdr:from>
        <xdr:ext cx="742949" cy="228600"/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447C6885-AADF-4833-B21E-8FC09EA492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637</xdr:row>
          <xdr:rowOff>142876</xdr:rowOff>
        </xdr:from>
        <xdr:ext cx="742949" cy="228600"/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A1CAB11-6636-407C-8AE3-6A6DDB4D3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638</xdr:row>
          <xdr:rowOff>142876</xdr:rowOff>
        </xdr:from>
        <xdr:ext cx="742949" cy="228600"/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E09B4C58-90DC-4448-83A6-5171AF679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639</xdr:row>
          <xdr:rowOff>142876</xdr:rowOff>
        </xdr:from>
        <xdr:ext cx="742949" cy="228600"/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17EFD590-5551-430E-B702-821E756A6F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640</xdr:row>
          <xdr:rowOff>142876</xdr:rowOff>
        </xdr:from>
        <xdr:ext cx="742949" cy="228600"/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9270CD73-48AC-43B2-A128-6C1B733D5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641</xdr:row>
          <xdr:rowOff>142876</xdr:rowOff>
        </xdr:from>
        <xdr:ext cx="742949" cy="228600"/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5FB81309-D0EB-4B72-9ED0-5BF5C699DD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642</xdr:row>
          <xdr:rowOff>142876</xdr:rowOff>
        </xdr:from>
        <xdr:ext cx="742949" cy="228600"/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36B06C99-37B2-4436-90D2-9E23E6393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643</xdr:row>
          <xdr:rowOff>142876</xdr:rowOff>
        </xdr:from>
        <xdr:ext cx="742949" cy="228600"/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84C57A4A-8669-4A62-A2D1-5F4C0EACBD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644</xdr:row>
          <xdr:rowOff>142876</xdr:rowOff>
        </xdr:from>
        <xdr:ext cx="742949" cy="228600"/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889598CB-61DC-4A02-B4FB-740918917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645</xdr:row>
          <xdr:rowOff>142876</xdr:rowOff>
        </xdr:from>
        <xdr:ext cx="742949" cy="228600"/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257C5EF-27EF-420D-9F63-7D8981A10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646</xdr:row>
          <xdr:rowOff>142876</xdr:rowOff>
        </xdr:from>
        <xdr:ext cx="742949" cy="228600"/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3513148A-2EDB-4F81-BDC7-B1417C54B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647</xdr:row>
          <xdr:rowOff>142876</xdr:rowOff>
        </xdr:from>
        <xdr:ext cx="742949" cy="228600"/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956EFAB0-3F44-4D8B-A2BC-35883827D6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648</xdr:row>
          <xdr:rowOff>142876</xdr:rowOff>
        </xdr:from>
        <xdr:ext cx="742949" cy="228600"/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1C2CA4B2-72F3-41AF-923A-882C559C76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649</xdr:row>
          <xdr:rowOff>142876</xdr:rowOff>
        </xdr:from>
        <xdr:ext cx="742949" cy="228600"/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903AECE6-7F55-4284-9B92-D98D21601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650</xdr:row>
          <xdr:rowOff>142876</xdr:rowOff>
        </xdr:from>
        <xdr:ext cx="742949" cy="228600"/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5786444-C3FC-4E86-AEF6-794960E60A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651</xdr:row>
          <xdr:rowOff>142876</xdr:rowOff>
        </xdr:from>
        <xdr:ext cx="742949" cy="228600"/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57BAC44F-0A5F-42FF-BE16-E91BB2524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652</xdr:row>
          <xdr:rowOff>142876</xdr:rowOff>
        </xdr:from>
        <xdr:ext cx="742949" cy="228600"/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2F6DC267-F472-4FB0-BA0E-F0594CAE3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653</xdr:row>
          <xdr:rowOff>142876</xdr:rowOff>
        </xdr:from>
        <xdr:ext cx="742949" cy="228600"/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9929CE90-361C-4A23-B0F2-4845BB039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654</xdr:row>
          <xdr:rowOff>142876</xdr:rowOff>
        </xdr:from>
        <xdr:ext cx="742949" cy="228600"/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464311C5-2BD5-4B23-BD45-FF11002DC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655</xdr:row>
          <xdr:rowOff>142876</xdr:rowOff>
        </xdr:from>
        <xdr:ext cx="742949" cy="228600"/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3BDA8266-5DEC-452F-A058-527E08650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656</xdr:row>
          <xdr:rowOff>142876</xdr:rowOff>
        </xdr:from>
        <xdr:ext cx="742949" cy="228600"/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1322DF40-A275-4EB1-B19A-DC64EED0A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657</xdr:row>
          <xdr:rowOff>142876</xdr:rowOff>
        </xdr:from>
        <xdr:ext cx="742949" cy="228600"/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39567611-C93E-4EF7-868B-793068396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658</xdr:row>
          <xdr:rowOff>142876</xdr:rowOff>
        </xdr:from>
        <xdr:ext cx="742949" cy="228600"/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C6C3E6AA-3B9E-450C-AD02-4B15598BA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659</xdr:row>
          <xdr:rowOff>142876</xdr:rowOff>
        </xdr:from>
        <xdr:ext cx="742949" cy="228600"/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50DCE6BD-9B6B-47CF-9C49-E81D88CDE4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660</xdr:row>
          <xdr:rowOff>142876</xdr:rowOff>
        </xdr:from>
        <xdr:ext cx="742949" cy="228600"/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E4684AB-219E-40BA-9BB8-8948AAE688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661</xdr:row>
          <xdr:rowOff>142876</xdr:rowOff>
        </xdr:from>
        <xdr:ext cx="742949" cy="228600"/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7629802A-4ABA-480F-A286-121885695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662</xdr:row>
          <xdr:rowOff>142876</xdr:rowOff>
        </xdr:from>
        <xdr:ext cx="742949" cy="228600"/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D51D8E5F-4303-4965-BA7B-C09C9E3DD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663</xdr:row>
          <xdr:rowOff>142876</xdr:rowOff>
        </xdr:from>
        <xdr:ext cx="742949" cy="228600"/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955E1D08-7FE5-4161-AF9C-0CA21A455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664</xdr:row>
          <xdr:rowOff>142876</xdr:rowOff>
        </xdr:from>
        <xdr:ext cx="742949" cy="228600"/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46016558-4C73-44D8-ACDB-2E0F3D03E3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665</xdr:row>
          <xdr:rowOff>142876</xdr:rowOff>
        </xdr:from>
        <xdr:ext cx="742949" cy="228600"/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597DF643-534A-4860-A61E-434069559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666</xdr:row>
          <xdr:rowOff>142876</xdr:rowOff>
        </xdr:from>
        <xdr:ext cx="742949" cy="228600"/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783C2759-6DA6-4023-8957-76D8A27EEF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667</xdr:row>
          <xdr:rowOff>142876</xdr:rowOff>
        </xdr:from>
        <xdr:ext cx="742949" cy="228600"/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55F24C7D-9E50-4B32-A9F2-650E52F48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668</xdr:row>
          <xdr:rowOff>142876</xdr:rowOff>
        </xdr:from>
        <xdr:ext cx="742949" cy="228600"/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CF82D449-A382-4594-8393-BFE1F4547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669</xdr:row>
          <xdr:rowOff>142876</xdr:rowOff>
        </xdr:from>
        <xdr:ext cx="742949" cy="228600"/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F0066337-06F6-492D-BD77-C244DCC3AF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670</xdr:row>
          <xdr:rowOff>142876</xdr:rowOff>
        </xdr:from>
        <xdr:ext cx="742949" cy="228600"/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80057040-F394-49B3-954A-4D377209D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671</xdr:row>
          <xdr:rowOff>142876</xdr:rowOff>
        </xdr:from>
        <xdr:ext cx="742949" cy="228600"/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67052D35-EDCA-4F42-B5FC-8FFD96885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672</xdr:row>
          <xdr:rowOff>142876</xdr:rowOff>
        </xdr:from>
        <xdr:ext cx="742949" cy="228600"/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6A59F638-0849-4C8F-AF0F-6052BEAA8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673</xdr:row>
          <xdr:rowOff>142876</xdr:rowOff>
        </xdr:from>
        <xdr:ext cx="742949" cy="228600"/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7496A0F2-472B-4EB7-8779-EC0354A13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674</xdr:row>
          <xdr:rowOff>142876</xdr:rowOff>
        </xdr:from>
        <xdr:ext cx="742949" cy="228600"/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8F885BDF-EFBF-42BA-9503-FFAF587A3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675</xdr:row>
          <xdr:rowOff>142876</xdr:rowOff>
        </xdr:from>
        <xdr:ext cx="742949" cy="228600"/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3574F5B-7383-4B7D-B14D-017ED0C60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676</xdr:row>
          <xdr:rowOff>142876</xdr:rowOff>
        </xdr:from>
        <xdr:ext cx="742949" cy="228600"/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54D4C77A-6E60-46F4-9AB1-C9F8F5183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677</xdr:row>
          <xdr:rowOff>142876</xdr:rowOff>
        </xdr:from>
        <xdr:ext cx="742949" cy="228600"/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A916E613-64B9-4F65-879C-3A7B97A411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678</xdr:row>
          <xdr:rowOff>142876</xdr:rowOff>
        </xdr:from>
        <xdr:ext cx="742949" cy="228600"/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753C86B2-3CA3-4BC2-AF72-896E58B57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679</xdr:row>
          <xdr:rowOff>142876</xdr:rowOff>
        </xdr:from>
        <xdr:ext cx="742949" cy="228600"/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7F6C370B-4C24-46AD-8F4A-A92149CDE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680</xdr:row>
          <xdr:rowOff>142876</xdr:rowOff>
        </xdr:from>
        <xdr:ext cx="742949" cy="228600"/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C538F1FC-8FCD-42C8-AC4E-8A9FAF304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681</xdr:row>
          <xdr:rowOff>142876</xdr:rowOff>
        </xdr:from>
        <xdr:ext cx="742949" cy="228600"/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A893C6E1-19EA-4FB7-8AB1-038525739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682</xdr:row>
          <xdr:rowOff>142876</xdr:rowOff>
        </xdr:from>
        <xdr:ext cx="742949" cy="228600"/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33EAD373-5BC5-48DA-B7D2-C2773629E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683</xdr:row>
          <xdr:rowOff>142876</xdr:rowOff>
        </xdr:from>
        <xdr:ext cx="742949" cy="228600"/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EBA4C32E-55EA-47E5-923A-C4937C6FF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684</xdr:row>
          <xdr:rowOff>142876</xdr:rowOff>
        </xdr:from>
        <xdr:ext cx="742949" cy="228600"/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7B87DC74-8C33-4E2B-84BC-9D57BCF3AE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685</xdr:row>
          <xdr:rowOff>142876</xdr:rowOff>
        </xdr:from>
        <xdr:ext cx="742949" cy="228600"/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CC2ABA20-7C5D-45EA-845E-D30203402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686</xdr:row>
          <xdr:rowOff>142876</xdr:rowOff>
        </xdr:from>
        <xdr:ext cx="742949" cy="228600"/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C18A7C4A-5AA0-45AC-8DA5-B1AE461BF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687</xdr:row>
          <xdr:rowOff>142876</xdr:rowOff>
        </xdr:from>
        <xdr:ext cx="742949" cy="228600"/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E33A683C-7E33-4189-A162-7F7A17B27A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688</xdr:row>
          <xdr:rowOff>142876</xdr:rowOff>
        </xdr:from>
        <xdr:ext cx="742949" cy="228600"/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83E6F69A-54EC-4D5E-A4D2-EB8B0EDA7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689</xdr:row>
          <xdr:rowOff>142876</xdr:rowOff>
        </xdr:from>
        <xdr:ext cx="742949" cy="228600"/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B01F218C-F90D-460B-9F63-E0FF9518F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690</xdr:row>
          <xdr:rowOff>142876</xdr:rowOff>
        </xdr:from>
        <xdr:ext cx="742949" cy="228600"/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81A7E895-4F60-4A80-82FF-1CA469EF17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691</xdr:row>
          <xdr:rowOff>142876</xdr:rowOff>
        </xdr:from>
        <xdr:ext cx="742949" cy="228600"/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C4B1B32-DAE4-4387-AFCC-5FF007503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692</xdr:row>
          <xdr:rowOff>142876</xdr:rowOff>
        </xdr:from>
        <xdr:ext cx="742949" cy="228600"/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30DD8A21-918F-46B8-B4B5-4464D63A7E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693</xdr:row>
          <xdr:rowOff>142876</xdr:rowOff>
        </xdr:from>
        <xdr:ext cx="742949" cy="228600"/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8EA66529-A92C-4889-BB18-D86BE2BC0C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694</xdr:row>
          <xdr:rowOff>142876</xdr:rowOff>
        </xdr:from>
        <xdr:ext cx="742949" cy="228600"/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1477649A-B35A-4127-AE74-67D86D30A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695</xdr:row>
          <xdr:rowOff>142876</xdr:rowOff>
        </xdr:from>
        <xdr:ext cx="742949" cy="228600"/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92623C2F-8204-4DEB-BCBA-EB3A72FDD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696</xdr:row>
          <xdr:rowOff>142876</xdr:rowOff>
        </xdr:from>
        <xdr:ext cx="742949" cy="228600"/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FFBE7E57-1F86-4AD2-A549-DDE2D9445D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697</xdr:row>
          <xdr:rowOff>142876</xdr:rowOff>
        </xdr:from>
        <xdr:ext cx="742949" cy="228600"/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8FEFF36B-0A46-4621-A661-90A5B9AF9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698</xdr:row>
          <xdr:rowOff>142876</xdr:rowOff>
        </xdr:from>
        <xdr:ext cx="742949" cy="228600"/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CBDAB364-B201-4401-AD1A-2AAFADA4E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699</xdr:row>
          <xdr:rowOff>142876</xdr:rowOff>
        </xdr:from>
        <xdr:ext cx="742949" cy="228600"/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A443CC3E-D17F-4464-8A0B-227699BF97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700</xdr:row>
          <xdr:rowOff>142876</xdr:rowOff>
        </xdr:from>
        <xdr:ext cx="742949" cy="228600"/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31B32CC9-DE16-4FB3-BAED-55A1433B99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701</xdr:row>
          <xdr:rowOff>142876</xdr:rowOff>
        </xdr:from>
        <xdr:ext cx="742949" cy="228600"/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F3A6506D-8192-47A7-9164-21BB00255E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702</xdr:row>
          <xdr:rowOff>142876</xdr:rowOff>
        </xdr:from>
        <xdr:ext cx="742949" cy="228600"/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62F0E749-8D0B-4B6A-978F-4E7F9EBCE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703</xdr:row>
          <xdr:rowOff>142876</xdr:rowOff>
        </xdr:from>
        <xdr:ext cx="742949" cy="228600"/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91A4527A-FA38-4CC1-AECF-6BC72F683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704</xdr:row>
          <xdr:rowOff>142876</xdr:rowOff>
        </xdr:from>
        <xdr:ext cx="742949" cy="228600"/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37A847BB-E8EE-4CCC-96E3-EEEC3D925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705</xdr:row>
          <xdr:rowOff>142876</xdr:rowOff>
        </xdr:from>
        <xdr:ext cx="742949" cy="228600"/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6A92FB45-ED1C-4E5F-8BC5-6E207E6F0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706</xdr:row>
          <xdr:rowOff>142876</xdr:rowOff>
        </xdr:from>
        <xdr:ext cx="742949" cy="228600"/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AA6A6C86-0ACC-418E-A963-30B07A05B6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707</xdr:row>
          <xdr:rowOff>142876</xdr:rowOff>
        </xdr:from>
        <xdr:ext cx="742949" cy="228600"/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FD355966-CFEC-4C73-89FA-4D993507F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708</xdr:row>
          <xdr:rowOff>142876</xdr:rowOff>
        </xdr:from>
        <xdr:ext cx="742949" cy="228600"/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1C4BF510-469E-43B2-9F71-9F3271120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709</xdr:row>
          <xdr:rowOff>142876</xdr:rowOff>
        </xdr:from>
        <xdr:ext cx="742949" cy="228600"/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80A6A20E-BA4A-418D-BDB2-2933F3DA3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710</xdr:row>
          <xdr:rowOff>142876</xdr:rowOff>
        </xdr:from>
        <xdr:ext cx="742949" cy="228600"/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7694C7A3-B9E6-409D-B8B1-10757E84B3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711</xdr:row>
          <xdr:rowOff>142876</xdr:rowOff>
        </xdr:from>
        <xdr:ext cx="742949" cy="228600"/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3EE42365-01CA-4B30-9F22-02711AE6D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712</xdr:row>
          <xdr:rowOff>142876</xdr:rowOff>
        </xdr:from>
        <xdr:ext cx="742949" cy="228600"/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4A04F4A3-0B38-42EC-A55B-680972EAC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713</xdr:row>
          <xdr:rowOff>142876</xdr:rowOff>
        </xdr:from>
        <xdr:ext cx="742949" cy="228600"/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52DB7D9-2CBC-446C-941A-1956F050F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714</xdr:row>
          <xdr:rowOff>142876</xdr:rowOff>
        </xdr:from>
        <xdr:ext cx="742949" cy="228600"/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884FFFB-B308-4991-9CF3-926BB20709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715</xdr:row>
          <xdr:rowOff>142876</xdr:rowOff>
        </xdr:from>
        <xdr:ext cx="742949" cy="228600"/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2B52947B-41D9-4AAD-8682-602485433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716</xdr:row>
          <xdr:rowOff>142876</xdr:rowOff>
        </xdr:from>
        <xdr:ext cx="742949" cy="228600"/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57DDF455-377A-4780-BF74-86018880D0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717</xdr:row>
          <xdr:rowOff>142876</xdr:rowOff>
        </xdr:from>
        <xdr:ext cx="742949" cy="228600"/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4B876A23-5721-4252-A44F-89605A0CC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718</xdr:row>
          <xdr:rowOff>142876</xdr:rowOff>
        </xdr:from>
        <xdr:ext cx="742949" cy="228600"/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DAD4A177-677E-43F7-BAD0-1AEA269D77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719</xdr:row>
          <xdr:rowOff>142876</xdr:rowOff>
        </xdr:from>
        <xdr:ext cx="742949" cy="228600"/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98B57F97-6417-4B10-8225-28AC4721A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720</xdr:row>
          <xdr:rowOff>142876</xdr:rowOff>
        </xdr:from>
        <xdr:ext cx="742949" cy="228600"/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DFBB7740-981B-4580-BBD8-E3B14793D3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721</xdr:row>
          <xdr:rowOff>142876</xdr:rowOff>
        </xdr:from>
        <xdr:ext cx="742949" cy="228600"/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6F40E4DD-CEFE-4A18-AB1D-55526CD12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722</xdr:row>
          <xdr:rowOff>142876</xdr:rowOff>
        </xdr:from>
        <xdr:ext cx="742949" cy="228600"/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D80BBD6A-1DD2-4428-A433-E9A36DB5D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723</xdr:row>
          <xdr:rowOff>142876</xdr:rowOff>
        </xdr:from>
        <xdr:ext cx="742949" cy="228600"/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E52F5AA-7128-4749-B335-14F134955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724</xdr:row>
          <xdr:rowOff>142876</xdr:rowOff>
        </xdr:from>
        <xdr:ext cx="742949" cy="228600"/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F4D1C9E9-68B7-4B00-BD60-A34609C01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725</xdr:row>
          <xdr:rowOff>142876</xdr:rowOff>
        </xdr:from>
        <xdr:ext cx="742949" cy="228600"/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1E084AE6-FF8B-4982-BA7B-29AC8ED2D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726</xdr:row>
          <xdr:rowOff>142876</xdr:rowOff>
        </xdr:from>
        <xdr:ext cx="742949" cy="228600"/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ACF3DD82-EFE6-4ECC-B852-F41583BE9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727</xdr:row>
          <xdr:rowOff>142876</xdr:rowOff>
        </xdr:from>
        <xdr:ext cx="742949" cy="228600"/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60AE188C-2C76-4CDB-B8C0-375008E43E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728</xdr:row>
          <xdr:rowOff>142876</xdr:rowOff>
        </xdr:from>
        <xdr:ext cx="742949" cy="228600"/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8B23778E-07CC-4E13-BD69-1F9202E9A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729</xdr:row>
          <xdr:rowOff>142876</xdr:rowOff>
        </xdr:from>
        <xdr:ext cx="742949" cy="228600"/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6A19FCCD-745F-444C-89F6-C242EF31A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730</xdr:row>
          <xdr:rowOff>142876</xdr:rowOff>
        </xdr:from>
        <xdr:ext cx="742949" cy="228600"/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F6AC768B-2F21-4A71-8B00-9A3D5140B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731</xdr:row>
          <xdr:rowOff>142876</xdr:rowOff>
        </xdr:from>
        <xdr:ext cx="742949" cy="228600"/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1953E291-6A9F-4212-B915-4E53F789CF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732</xdr:row>
          <xdr:rowOff>142876</xdr:rowOff>
        </xdr:from>
        <xdr:ext cx="742949" cy="228600"/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171BAA8F-A675-4460-8A0B-293205D27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733</xdr:row>
          <xdr:rowOff>142876</xdr:rowOff>
        </xdr:from>
        <xdr:ext cx="742949" cy="228600"/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D0CA03E1-9B8F-456F-85BD-5CAFDABA8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734</xdr:row>
          <xdr:rowOff>142876</xdr:rowOff>
        </xdr:from>
        <xdr:ext cx="742949" cy="228600"/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98D7192B-7BDD-405D-A57D-E7A8D4536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735</xdr:row>
          <xdr:rowOff>142876</xdr:rowOff>
        </xdr:from>
        <xdr:ext cx="742949" cy="228600"/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DB564DA3-255B-4EDA-BAC9-0E60B6BBDD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736</xdr:row>
          <xdr:rowOff>142876</xdr:rowOff>
        </xdr:from>
        <xdr:ext cx="742949" cy="228600"/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7AD430F3-1158-46B2-9536-533497E63E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737</xdr:row>
          <xdr:rowOff>142876</xdr:rowOff>
        </xdr:from>
        <xdr:ext cx="742949" cy="228600"/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9C2E02D5-57DD-4A16-A3D3-E05DD29D9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738</xdr:row>
          <xdr:rowOff>142876</xdr:rowOff>
        </xdr:from>
        <xdr:ext cx="742949" cy="228600"/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37523A5A-BCC4-4EEC-9267-DBEF10695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739</xdr:row>
          <xdr:rowOff>142876</xdr:rowOff>
        </xdr:from>
        <xdr:ext cx="742949" cy="228600"/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C40B02AA-D935-4815-9AE3-F8F4CCE38F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740</xdr:row>
          <xdr:rowOff>142876</xdr:rowOff>
        </xdr:from>
        <xdr:ext cx="742949" cy="228600"/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5B00949A-9F96-461A-BDC3-F7B566902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741</xdr:row>
          <xdr:rowOff>142876</xdr:rowOff>
        </xdr:from>
        <xdr:ext cx="742949" cy="228600"/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7315BA56-9E81-4BC0-8ECD-9821B4667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742</xdr:row>
          <xdr:rowOff>142876</xdr:rowOff>
        </xdr:from>
        <xdr:ext cx="742949" cy="228600"/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394FB7D-6F48-4CA8-BD59-5FB431EBA4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743</xdr:row>
          <xdr:rowOff>142876</xdr:rowOff>
        </xdr:from>
        <xdr:ext cx="742949" cy="228600"/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CA08BB23-1F98-4712-9D0B-645380E3A1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744</xdr:row>
          <xdr:rowOff>142876</xdr:rowOff>
        </xdr:from>
        <xdr:ext cx="742949" cy="228600"/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CD0E0959-A0EF-4380-ADAD-43D63703E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745</xdr:row>
          <xdr:rowOff>142876</xdr:rowOff>
        </xdr:from>
        <xdr:ext cx="742949" cy="228600"/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566735DF-C223-4035-B7BC-951696653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746</xdr:row>
          <xdr:rowOff>142876</xdr:rowOff>
        </xdr:from>
        <xdr:ext cx="742949" cy="228600"/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84839C50-CACB-4DAE-9C5A-D2E7F4DA6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747</xdr:row>
          <xdr:rowOff>142876</xdr:rowOff>
        </xdr:from>
        <xdr:ext cx="742949" cy="228600"/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FB384E0B-C1E5-4AF0-9EA3-E380AF1F8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748</xdr:row>
          <xdr:rowOff>142876</xdr:rowOff>
        </xdr:from>
        <xdr:ext cx="742949" cy="228600"/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1D820483-2054-4A53-9849-DA3FF99397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749</xdr:row>
          <xdr:rowOff>142876</xdr:rowOff>
        </xdr:from>
        <xdr:ext cx="742949" cy="228600"/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DBCBD631-62B9-43FC-9942-FB0D2F5B1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750</xdr:row>
          <xdr:rowOff>142876</xdr:rowOff>
        </xdr:from>
        <xdr:ext cx="742949" cy="228600"/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AEAE2B89-3689-4BA3-BD34-055B6BACCD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751</xdr:row>
          <xdr:rowOff>142876</xdr:rowOff>
        </xdr:from>
        <xdr:ext cx="742949" cy="228600"/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A5EB5F88-2C7A-4595-97AA-AB96BB5D7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752</xdr:row>
          <xdr:rowOff>142876</xdr:rowOff>
        </xdr:from>
        <xdr:ext cx="742949" cy="228600"/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5A014FC0-5BFF-454B-BCBF-164BBF17E4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753</xdr:row>
          <xdr:rowOff>142876</xdr:rowOff>
        </xdr:from>
        <xdr:ext cx="742949" cy="228600"/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9F885663-D251-44DD-BDDB-9B97F69CE2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754</xdr:row>
          <xdr:rowOff>142876</xdr:rowOff>
        </xdr:from>
        <xdr:ext cx="742949" cy="228600"/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9B5E5F45-2EE6-4113-A2EE-DCDE2BD82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755</xdr:row>
          <xdr:rowOff>142876</xdr:rowOff>
        </xdr:from>
        <xdr:ext cx="742949" cy="228600"/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A3D4F303-A764-4BE7-926C-6F4E54BA5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756</xdr:row>
          <xdr:rowOff>142876</xdr:rowOff>
        </xdr:from>
        <xdr:ext cx="742949" cy="228600"/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F1AADBC2-4B6A-4854-889C-79DC644FA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757</xdr:row>
          <xdr:rowOff>142876</xdr:rowOff>
        </xdr:from>
        <xdr:ext cx="742949" cy="228600"/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70C70796-AF68-439F-A179-1CB49C1C0F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758</xdr:row>
          <xdr:rowOff>142876</xdr:rowOff>
        </xdr:from>
        <xdr:ext cx="742949" cy="228600"/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24193259-7B4D-47DD-B7B3-77432643A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759</xdr:row>
          <xdr:rowOff>142876</xdr:rowOff>
        </xdr:from>
        <xdr:ext cx="742949" cy="228600"/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38BD8275-C427-4338-8741-27F14339F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760</xdr:row>
          <xdr:rowOff>142876</xdr:rowOff>
        </xdr:from>
        <xdr:ext cx="742949" cy="228600"/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E271564C-A43F-4AD7-88CD-22C984922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761</xdr:row>
          <xdr:rowOff>142876</xdr:rowOff>
        </xdr:from>
        <xdr:ext cx="742949" cy="228600"/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3871EEC1-6B08-416D-BF95-43130F3BCD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762</xdr:row>
          <xdr:rowOff>142876</xdr:rowOff>
        </xdr:from>
        <xdr:ext cx="742949" cy="228600"/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510FAC8C-D5D3-49C8-BCD6-8A8722C03C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763</xdr:row>
          <xdr:rowOff>142876</xdr:rowOff>
        </xdr:from>
        <xdr:ext cx="742949" cy="228600"/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CF72F2FC-085D-4851-84D9-1E4B2B478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764</xdr:row>
          <xdr:rowOff>142876</xdr:rowOff>
        </xdr:from>
        <xdr:ext cx="742949" cy="228600"/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5F18F9B5-890C-4FEF-B2D5-FCA185084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765</xdr:row>
          <xdr:rowOff>142876</xdr:rowOff>
        </xdr:from>
        <xdr:ext cx="742949" cy="228600"/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FA136359-D3B2-41F8-B4A3-3AB610DB4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766</xdr:row>
          <xdr:rowOff>142876</xdr:rowOff>
        </xdr:from>
        <xdr:ext cx="742949" cy="228600"/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7425DDFA-9974-4941-A13A-0E7C357678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767</xdr:row>
          <xdr:rowOff>142876</xdr:rowOff>
        </xdr:from>
        <xdr:ext cx="742949" cy="228600"/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AC8206F2-5AE8-49EB-A0E7-1F0DCB7DA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768</xdr:row>
          <xdr:rowOff>142876</xdr:rowOff>
        </xdr:from>
        <xdr:ext cx="742949" cy="228600"/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80C2E808-C1C1-4C18-BFBD-4F3B5E99D9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769</xdr:row>
          <xdr:rowOff>142876</xdr:rowOff>
        </xdr:from>
        <xdr:ext cx="742949" cy="228600"/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9575FF23-17CF-45A1-AA19-D797D2A5D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770</xdr:row>
          <xdr:rowOff>142876</xdr:rowOff>
        </xdr:from>
        <xdr:ext cx="742949" cy="228600"/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B4DCC70A-9510-419D-B070-E71E524E4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771</xdr:row>
          <xdr:rowOff>142876</xdr:rowOff>
        </xdr:from>
        <xdr:ext cx="742949" cy="228600"/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2FBCFBCB-3356-4138-8B02-29889C128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772</xdr:row>
          <xdr:rowOff>142876</xdr:rowOff>
        </xdr:from>
        <xdr:ext cx="742949" cy="228600"/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2E3CBA69-3098-47CD-8828-C751BAD25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773</xdr:row>
          <xdr:rowOff>142876</xdr:rowOff>
        </xdr:from>
        <xdr:ext cx="742949" cy="228600"/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5F1133B-EB37-4EE3-A543-AC38A62133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774</xdr:row>
          <xdr:rowOff>142876</xdr:rowOff>
        </xdr:from>
        <xdr:ext cx="742949" cy="228600"/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AF97E9A1-E367-4E1F-8480-0FC6EE0AE6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775</xdr:row>
          <xdr:rowOff>142876</xdr:rowOff>
        </xdr:from>
        <xdr:ext cx="742949" cy="228600"/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965360DC-FA51-42CB-AFC1-3D9C08E99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776</xdr:row>
          <xdr:rowOff>142876</xdr:rowOff>
        </xdr:from>
        <xdr:ext cx="742949" cy="228600"/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4A4FCA0B-DA23-4F33-B65F-59AF0704CE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777</xdr:row>
          <xdr:rowOff>142876</xdr:rowOff>
        </xdr:from>
        <xdr:ext cx="742949" cy="228600"/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171C826F-2F5C-43C5-B575-14A526608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778</xdr:row>
          <xdr:rowOff>142876</xdr:rowOff>
        </xdr:from>
        <xdr:ext cx="742949" cy="228600"/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FD736BD4-628D-4B8E-9906-0A5B88257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779</xdr:row>
          <xdr:rowOff>142876</xdr:rowOff>
        </xdr:from>
        <xdr:ext cx="742949" cy="228600"/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514B73F2-3C6B-4152-BDB2-02F05500D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780</xdr:row>
          <xdr:rowOff>142876</xdr:rowOff>
        </xdr:from>
        <xdr:ext cx="742949" cy="228600"/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EB17F46D-FE62-419F-BE07-764C8AADBE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781</xdr:row>
          <xdr:rowOff>142876</xdr:rowOff>
        </xdr:from>
        <xdr:ext cx="742949" cy="228600"/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B30BB892-5E7E-4639-98B9-E955ADCAB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782</xdr:row>
          <xdr:rowOff>142876</xdr:rowOff>
        </xdr:from>
        <xdr:ext cx="742949" cy="228600"/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357872D7-ABDD-4052-A75F-A5A70EF80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783</xdr:row>
          <xdr:rowOff>142876</xdr:rowOff>
        </xdr:from>
        <xdr:ext cx="742949" cy="228600"/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C2B22EA3-E925-41FC-9D69-2A7B23F90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784</xdr:row>
          <xdr:rowOff>142876</xdr:rowOff>
        </xdr:from>
        <xdr:ext cx="742949" cy="228600"/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BF924CE9-4FD9-4EF2-B35C-831443EAC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785</xdr:row>
          <xdr:rowOff>142876</xdr:rowOff>
        </xdr:from>
        <xdr:ext cx="742949" cy="228600"/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17531F33-A433-48F7-A0EB-B42C27F82E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786</xdr:row>
          <xdr:rowOff>142876</xdr:rowOff>
        </xdr:from>
        <xdr:ext cx="742949" cy="228600"/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F44DAEA0-B330-44AE-8A7B-2E17E246A2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787</xdr:row>
          <xdr:rowOff>142876</xdr:rowOff>
        </xdr:from>
        <xdr:ext cx="742949" cy="228600"/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88637C45-5C26-40C7-9DC0-70880CDD2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788</xdr:row>
          <xdr:rowOff>142876</xdr:rowOff>
        </xdr:from>
        <xdr:ext cx="742949" cy="228600"/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47DD5FD-E935-41A4-AB26-1841B2970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789</xdr:row>
          <xdr:rowOff>142876</xdr:rowOff>
        </xdr:from>
        <xdr:ext cx="742949" cy="228600"/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D224511A-D9C5-41E8-9E43-C01474E7F6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790</xdr:row>
          <xdr:rowOff>142876</xdr:rowOff>
        </xdr:from>
        <xdr:ext cx="742949" cy="228600"/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9DA6A388-3F1A-4B5E-AE0C-CADE79A20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791</xdr:row>
          <xdr:rowOff>142876</xdr:rowOff>
        </xdr:from>
        <xdr:ext cx="742949" cy="228600"/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6A5A0274-F0F1-4F9C-8D07-EE86BFA21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792</xdr:row>
          <xdr:rowOff>142876</xdr:rowOff>
        </xdr:from>
        <xdr:ext cx="742949" cy="228600"/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C3E4854F-41E1-42BC-89C5-887935B10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793</xdr:row>
          <xdr:rowOff>142876</xdr:rowOff>
        </xdr:from>
        <xdr:ext cx="742949" cy="228600"/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87B6B0D1-B140-4700-9CC8-0A3B13A4E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794</xdr:row>
          <xdr:rowOff>142876</xdr:rowOff>
        </xdr:from>
        <xdr:ext cx="742949" cy="228600"/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81BD405C-FC68-4DDA-86E3-F28AF7AB52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795</xdr:row>
          <xdr:rowOff>142876</xdr:rowOff>
        </xdr:from>
        <xdr:ext cx="742949" cy="228600"/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4817C51A-17E9-4FCD-8163-9D22C3DB4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796</xdr:row>
          <xdr:rowOff>142876</xdr:rowOff>
        </xdr:from>
        <xdr:ext cx="742949" cy="228600"/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ACE404CB-02F3-4FDD-AA0D-879D1140D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797</xdr:row>
          <xdr:rowOff>142876</xdr:rowOff>
        </xdr:from>
        <xdr:ext cx="742949" cy="228600"/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A48F5466-9ABD-46C4-B422-237AA11011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798</xdr:row>
          <xdr:rowOff>142876</xdr:rowOff>
        </xdr:from>
        <xdr:ext cx="742949" cy="228600"/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643EF9AA-1609-4B34-AA29-C72B0EFA76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799</xdr:row>
          <xdr:rowOff>142876</xdr:rowOff>
        </xdr:from>
        <xdr:ext cx="742949" cy="228600"/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77D4B3DD-9683-4C18-8CEA-7F6B16849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800</xdr:row>
          <xdr:rowOff>142876</xdr:rowOff>
        </xdr:from>
        <xdr:ext cx="742949" cy="228600"/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B0F5DFCB-3953-44DD-AB01-B4697345A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801</xdr:row>
          <xdr:rowOff>142876</xdr:rowOff>
        </xdr:from>
        <xdr:ext cx="742949" cy="228600"/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2489AE25-9028-4750-9443-7DEBC8502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802</xdr:row>
          <xdr:rowOff>142876</xdr:rowOff>
        </xdr:from>
        <xdr:ext cx="742949" cy="228600"/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81E764B0-9C23-41F8-BDCC-78B4B5697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803</xdr:row>
          <xdr:rowOff>142876</xdr:rowOff>
        </xdr:from>
        <xdr:ext cx="742949" cy="228600"/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3246B4DA-9743-45AD-9148-6A4C1ED415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804</xdr:row>
          <xdr:rowOff>142876</xdr:rowOff>
        </xdr:from>
        <xdr:ext cx="742949" cy="228600"/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B052E70-B3C4-4628-89BC-C6155B07B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805</xdr:row>
          <xdr:rowOff>142876</xdr:rowOff>
        </xdr:from>
        <xdr:ext cx="742949" cy="228600"/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6A5C60B5-6D6E-4A8D-8FE4-D4DADDA434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806</xdr:row>
          <xdr:rowOff>142876</xdr:rowOff>
        </xdr:from>
        <xdr:ext cx="742949" cy="228600"/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3BA0C4BA-C617-43FE-9535-5A8F3AF09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807</xdr:row>
          <xdr:rowOff>142876</xdr:rowOff>
        </xdr:from>
        <xdr:ext cx="742949" cy="228600"/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7934DE67-9551-4E72-9AF6-D09A28FCF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808</xdr:row>
          <xdr:rowOff>142876</xdr:rowOff>
        </xdr:from>
        <xdr:ext cx="742949" cy="228600"/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F92AC3BC-30D6-4659-9EA2-E0B01DC5F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809</xdr:row>
          <xdr:rowOff>142876</xdr:rowOff>
        </xdr:from>
        <xdr:ext cx="742949" cy="228600"/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B730A25-8912-4DD5-BEAD-9B0BB1D45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810</xdr:row>
          <xdr:rowOff>142876</xdr:rowOff>
        </xdr:from>
        <xdr:ext cx="742949" cy="228600"/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D11E49B7-EA4C-4903-B81A-C6268D04E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811</xdr:row>
          <xdr:rowOff>142876</xdr:rowOff>
        </xdr:from>
        <xdr:ext cx="742949" cy="228600"/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5D5A1AC-CB6F-48B9-8958-219D0827B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812</xdr:row>
          <xdr:rowOff>142876</xdr:rowOff>
        </xdr:from>
        <xdr:ext cx="742949" cy="228600"/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723BF986-BBED-435E-AC17-57633A553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813</xdr:row>
          <xdr:rowOff>142876</xdr:rowOff>
        </xdr:from>
        <xdr:ext cx="742949" cy="228600"/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A03BFB53-E798-4C4F-824D-FCF5DAE77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814</xdr:row>
          <xdr:rowOff>142876</xdr:rowOff>
        </xdr:from>
        <xdr:ext cx="742949" cy="228600"/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737C840F-6AAE-46EC-AAB0-1CADCBD41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815</xdr:row>
          <xdr:rowOff>142876</xdr:rowOff>
        </xdr:from>
        <xdr:ext cx="742949" cy="228600"/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5676AF0-978F-4CD5-8CF0-CDDAFDB02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816</xdr:row>
          <xdr:rowOff>142876</xdr:rowOff>
        </xdr:from>
        <xdr:ext cx="742949" cy="228600"/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72A4C01B-5EF9-4C17-9EAB-25AA549279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817</xdr:row>
          <xdr:rowOff>142876</xdr:rowOff>
        </xdr:from>
        <xdr:ext cx="742949" cy="228600"/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7A69C360-CC7E-4E26-90C7-51E5AD5B9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818</xdr:row>
          <xdr:rowOff>142876</xdr:rowOff>
        </xdr:from>
        <xdr:ext cx="742949" cy="228600"/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587DEA7D-0327-4B35-BE78-6A8E88AC3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819</xdr:row>
          <xdr:rowOff>142876</xdr:rowOff>
        </xdr:from>
        <xdr:ext cx="742949" cy="228600"/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36B51DF4-B35C-4FED-B4AF-8E8CE3A34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820</xdr:row>
          <xdr:rowOff>142876</xdr:rowOff>
        </xdr:from>
        <xdr:ext cx="742949" cy="228600"/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9C6CCC93-63A1-4C94-84A4-DFAEC4BF2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821</xdr:row>
          <xdr:rowOff>142876</xdr:rowOff>
        </xdr:from>
        <xdr:ext cx="742949" cy="228600"/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E25EFB11-7115-4E57-B501-F425CC092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822</xdr:row>
          <xdr:rowOff>142876</xdr:rowOff>
        </xdr:from>
        <xdr:ext cx="742949" cy="228600"/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E7024DCE-5683-4E80-AC8E-16CBFC70A8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823</xdr:row>
          <xdr:rowOff>142876</xdr:rowOff>
        </xdr:from>
        <xdr:ext cx="742949" cy="228600"/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6585B10-489E-4666-BE1B-D427CEC6CD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824</xdr:row>
          <xdr:rowOff>142876</xdr:rowOff>
        </xdr:from>
        <xdr:ext cx="742949" cy="228600"/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E75F29D2-28C2-4F13-80F2-F095D57D2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825</xdr:row>
          <xdr:rowOff>142876</xdr:rowOff>
        </xdr:from>
        <xdr:ext cx="742949" cy="228600"/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ED3C08FE-A00E-4D59-AEB7-4576487FB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826</xdr:row>
          <xdr:rowOff>142876</xdr:rowOff>
        </xdr:from>
        <xdr:ext cx="742949" cy="228600"/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359AB32F-6553-4388-B1ED-F1C796756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827</xdr:row>
          <xdr:rowOff>142876</xdr:rowOff>
        </xdr:from>
        <xdr:ext cx="742949" cy="228600"/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FE782D9A-BF9C-4188-B221-C974A5060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828</xdr:row>
          <xdr:rowOff>142876</xdr:rowOff>
        </xdr:from>
        <xdr:ext cx="742949" cy="228600"/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12BECC21-6398-49F9-8182-74BDEDE23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829</xdr:row>
          <xdr:rowOff>142876</xdr:rowOff>
        </xdr:from>
        <xdr:ext cx="742949" cy="228600"/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E19B9E26-E6EE-440B-B79C-9491E9FE3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830</xdr:row>
          <xdr:rowOff>142876</xdr:rowOff>
        </xdr:from>
        <xdr:ext cx="742949" cy="228600"/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D799373B-E238-4915-BF85-2AD023DAD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831</xdr:row>
          <xdr:rowOff>142876</xdr:rowOff>
        </xdr:from>
        <xdr:ext cx="742949" cy="228600"/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EA1C00CA-E8F9-44CF-876A-6B42D25F21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832</xdr:row>
          <xdr:rowOff>142876</xdr:rowOff>
        </xdr:from>
        <xdr:ext cx="742949" cy="228600"/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D01B6B05-EFFB-461B-94BC-30F6CFD8B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833</xdr:row>
          <xdr:rowOff>142876</xdr:rowOff>
        </xdr:from>
        <xdr:ext cx="742949" cy="228600"/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35890047-6E89-48D0-9FBB-8B64B43CB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834</xdr:row>
          <xdr:rowOff>142876</xdr:rowOff>
        </xdr:from>
        <xdr:ext cx="742949" cy="228600"/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8E0DE7-886B-4782-AF72-341F56937F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835</xdr:row>
          <xdr:rowOff>142876</xdr:rowOff>
        </xdr:from>
        <xdr:ext cx="742949" cy="228600"/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3FD3E932-BC15-4359-B860-081AC7582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836</xdr:row>
          <xdr:rowOff>142876</xdr:rowOff>
        </xdr:from>
        <xdr:ext cx="742949" cy="228600"/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91A8B334-E5F2-4F6D-AD0A-EE768CB1D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837</xdr:row>
          <xdr:rowOff>142876</xdr:rowOff>
        </xdr:from>
        <xdr:ext cx="742949" cy="228600"/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C2DAA326-2AA8-4891-B449-E8C44FF31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838</xdr:row>
          <xdr:rowOff>142876</xdr:rowOff>
        </xdr:from>
        <xdr:ext cx="742949" cy="228600"/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919D3D89-81B7-44DA-9200-923C05FB85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839</xdr:row>
          <xdr:rowOff>142876</xdr:rowOff>
        </xdr:from>
        <xdr:ext cx="742949" cy="228600"/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6D636D41-7D30-4DBB-BCD7-0B5E0A239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840</xdr:row>
          <xdr:rowOff>142876</xdr:rowOff>
        </xdr:from>
        <xdr:ext cx="742949" cy="228600"/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4ABF5E05-8C13-4265-A530-AE8065735C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841</xdr:row>
          <xdr:rowOff>142876</xdr:rowOff>
        </xdr:from>
        <xdr:ext cx="742949" cy="228600"/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72BA1DB3-D99D-4280-803A-CAD7A4736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842</xdr:row>
          <xdr:rowOff>142876</xdr:rowOff>
        </xdr:from>
        <xdr:ext cx="742949" cy="228600"/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2483C3E-6373-4F9C-9A93-345C0EAA1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843</xdr:row>
          <xdr:rowOff>142876</xdr:rowOff>
        </xdr:from>
        <xdr:ext cx="742949" cy="228600"/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DD47B4C1-60B3-4D97-9EA8-46E33A3ED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844</xdr:row>
          <xdr:rowOff>142876</xdr:rowOff>
        </xdr:from>
        <xdr:ext cx="742949" cy="228600"/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30E55261-9B4C-4814-9FCB-E5B87C80E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845</xdr:row>
          <xdr:rowOff>142876</xdr:rowOff>
        </xdr:from>
        <xdr:ext cx="742949" cy="228600"/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A4D01364-F552-49A8-BA15-14A2BA32E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846</xdr:row>
          <xdr:rowOff>142876</xdr:rowOff>
        </xdr:from>
        <xdr:ext cx="742949" cy="228600"/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F66722AF-1D93-464C-9A86-5D9C6D936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847</xdr:row>
          <xdr:rowOff>142876</xdr:rowOff>
        </xdr:from>
        <xdr:ext cx="742949" cy="228600"/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D836F8F5-1E2A-43DE-92ED-478DF45DA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848</xdr:row>
          <xdr:rowOff>142876</xdr:rowOff>
        </xdr:from>
        <xdr:ext cx="742949" cy="228600"/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47AA5791-22B6-4AFE-854B-2D17C8915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849</xdr:row>
          <xdr:rowOff>142876</xdr:rowOff>
        </xdr:from>
        <xdr:ext cx="742949" cy="228600"/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FF2442AF-D8A7-4F87-A24A-D5B1F60C0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850</xdr:row>
          <xdr:rowOff>142876</xdr:rowOff>
        </xdr:from>
        <xdr:ext cx="742949" cy="228600"/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474F9E7F-4E89-4B4A-8F8C-A838DD7C0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851</xdr:row>
          <xdr:rowOff>142876</xdr:rowOff>
        </xdr:from>
        <xdr:ext cx="742949" cy="228600"/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626BB3C6-F2B6-4A4C-9AA3-A25E24B68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852</xdr:row>
          <xdr:rowOff>142876</xdr:rowOff>
        </xdr:from>
        <xdr:ext cx="742949" cy="228600"/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54B817F3-275F-4F99-A5AB-230224387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853</xdr:row>
          <xdr:rowOff>142876</xdr:rowOff>
        </xdr:from>
        <xdr:ext cx="742949" cy="228600"/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31F37253-1B8E-4012-89B7-3AF199556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854</xdr:row>
          <xdr:rowOff>142876</xdr:rowOff>
        </xdr:from>
        <xdr:ext cx="742949" cy="228600"/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8080DAB7-1030-4A3D-98EC-66B2CB5A8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855</xdr:row>
          <xdr:rowOff>142876</xdr:rowOff>
        </xdr:from>
        <xdr:ext cx="742949" cy="228600"/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C060A39-8245-465A-AB37-5B59F938C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856</xdr:row>
          <xdr:rowOff>142876</xdr:rowOff>
        </xdr:from>
        <xdr:ext cx="742949" cy="228600"/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E33A103-128A-4EAB-9B53-980232B359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857</xdr:row>
          <xdr:rowOff>142876</xdr:rowOff>
        </xdr:from>
        <xdr:ext cx="742949" cy="228600"/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479DC72F-6B30-4F1B-B246-69324EA225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858</xdr:row>
          <xdr:rowOff>142876</xdr:rowOff>
        </xdr:from>
        <xdr:ext cx="742949" cy="228600"/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90AEC937-35B8-4C15-9825-1EDD8567E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859</xdr:row>
          <xdr:rowOff>142876</xdr:rowOff>
        </xdr:from>
        <xdr:ext cx="742949" cy="228600"/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5EC44682-6A01-4F0E-9D0A-E6B85C086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860</xdr:row>
          <xdr:rowOff>142876</xdr:rowOff>
        </xdr:from>
        <xdr:ext cx="742949" cy="228600"/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C5D7A083-C29E-4B70-A341-98F8103791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861</xdr:row>
          <xdr:rowOff>142876</xdr:rowOff>
        </xdr:from>
        <xdr:ext cx="742949" cy="228600"/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D0A1B465-BB2D-4A17-98E0-5D6027F896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862</xdr:row>
          <xdr:rowOff>142876</xdr:rowOff>
        </xdr:from>
        <xdr:ext cx="742949" cy="228600"/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FEB01DED-5432-4958-B3C3-57A78EA65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863</xdr:row>
          <xdr:rowOff>142876</xdr:rowOff>
        </xdr:from>
        <xdr:ext cx="742949" cy="228600"/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FE9A195B-7843-47C8-A96E-D193F329D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864</xdr:row>
          <xdr:rowOff>142876</xdr:rowOff>
        </xdr:from>
        <xdr:ext cx="742949" cy="228600"/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893461EA-9B51-410D-AD23-36B9375DD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865</xdr:row>
          <xdr:rowOff>142876</xdr:rowOff>
        </xdr:from>
        <xdr:ext cx="742949" cy="228600"/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6D6DED7E-29A4-4575-BD88-00F9A01904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866</xdr:row>
          <xdr:rowOff>142876</xdr:rowOff>
        </xdr:from>
        <xdr:ext cx="742949" cy="228600"/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3C873F18-3B7D-4CC5-B54F-B47A5138D6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867</xdr:row>
          <xdr:rowOff>142876</xdr:rowOff>
        </xdr:from>
        <xdr:ext cx="742949" cy="228600"/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A9C2A9A1-0F36-4C5C-9C97-F43BEF042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868</xdr:row>
          <xdr:rowOff>142876</xdr:rowOff>
        </xdr:from>
        <xdr:ext cx="742949" cy="228600"/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2A72260C-8E86-4CF7-80E1-309E7528F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869</xdr:row>
          <xdr:rowOff>142876</xdr:rowOff>
        </xdr:from>
        <xdr:ext cx="742949" cy="228600"/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67BCB46E-D676-4428-AC13-4D493F5C5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870</xdr:row>
          <xdr:rowOff>142876</xdr:rowOff>
        </xdr:from>
        <xdr:ext cx="742949" cy="228600"/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438A173C-134F-442E-8CB7-378E3A9091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871</xdr:row>
          <xdr:rowOff>142876</xdr:rowOff>
        </xdr:from>
        <xdr:ext cx="742949" cy="228600"/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FA7AC56C-5C27-4D97-A2F6-0F239587E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872</xdr:row>
          <xdr:rowOff>142876</xdr:rowOff>
        </xdr:from>
        <xdr:ext cx="742949" cy="228600"/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45265D6-9899-4EB9-A939-93266D7EA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873</xdr:row>
          <xdr:rowOff>142876</xdr:rowOff>
        </xdr:from>
        <xdr:ext cx="742949" cy="228600"/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2E68C76E-56F6-4A46-8AC1-1751A7957D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874</xdr:row>
          <xdr:rowOff>142876</xdr:rowOff>
        </xdr:from>
        <xdr:ext cx="742949" cy="228600"/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92C0D16-F6DA-44CD-8593-A0DD425DF5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875</xdr:row>
          <xdr:rowOff>142876</xdr:rowOff>
        </xdr:from>
        <xdr:ext cx="742949" cy="228600"/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D6AF5AB1-7C4C-4113-AA69-1F2F99EBC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876</xdr:row>
          <xdr:rowOff>142876</xdr:rowOff>
        </xdr:from>
        <xdr:ext cx="742949" cy="228600"/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4CC1265C-9FE6-4EC4-AAE8-A0103EAC1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877</xdr:row>
          <xdr:rowOff>142876</xdr:rowOff>
        </xdr:from>
        <xdr:ext cx="742949" cy="228600"/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3263902E-8DEB-4033-B642-0C86010A7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878</xdr:row>
          <xdr:rowOff>142876</xdr:rowOff>
        </xdr:from>
        <xdr:ext cx="742949" cy="228600"/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D0FF0579-447E-4302-A28F-5A4E1402D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879</xdr:row>
          <xdr:rowOff>142876</xdr:rowOff>
        </xdr:from>
        <xdr:ext cx="742949" cy="228600"/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EF3587C4-4389-477A-95D6-3984F33C7B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880</xdr:row>
          <xdr:rowOff>142876</xdr:rowOff>
        </xdr:from>
        <xdr:ext cx="742949" cy="228600"/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4C7CBC4F-EE46-4B11-8A67-A2F1A73EF1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881</xdr:row>
          <xdr:rowOff>142876</xdr:rowOff>
        </xdr:from>
        <xdr:ext cx="742949" cy="228600"/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676E4D93-8F43-44C6-9856-2D833D5C3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882</xdr:row>
          <xdr:rowOff>142876</xdr:rowOff>
        </xdr:from>
        <xdr:ext cx="742949" cy="228600"/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3988A55D-FE3D-4538-B75F-E31BFB646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883</xdr:row>
          <xdr:rowOff>142876</xdr:rowOff>
        </xdr:from>
        <xdr:ext cx="742949" cy="228600"/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DC5F0B1E-1D04-4A04-B900-C5D877254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884</xdr:row>
          <xdr:rowOff>142876</xdr:rowOff>
        </xdr:from>
        <xdr:ext cx="742949" cy="228600"/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E6A4B68-A396-40E6-A817-4059EACB6E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885</xdr:row>
          <xdr:rowOff>142876</xdr:rowOff>
        </xdr:from>
        <xdr:ext cx="742949" cy="228600"/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AE12914-2841-47F8-BEEC-1104189AC7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886</xdr:row>
          <xdr:rowOff>142876</xdr:rowOff>
        </xdr:from>
        <xdr:ext cx="742949" cy="228600"/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40F0F262-5BFF-4C35-AFC3-140A176BE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887</xdr:row>
          <xdr:rowOff>142876</xdr:rowOff>
        </xdr:from>
        <xdr:ext cx="742949" cy="228600"/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46BC6F8C-AA43-4E47-98AA-015D26B1B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888</xdr:row>
          <xdr:rowOff>142876</xdr:rowOff>
        </xdr:from>
        <xdr:ext cx="742949" cy="228600"/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935FF801-A265-416C-A2AD-F5BC37741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889</xdr:row>
          <xdr:rowOff>142876</xdr:rowOff>
        </xdr:from>
        <xdr:ext cx="742949" cy="228600"/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4B7E6922-00D3-4C4B-A565-FA6C76D449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890</xdr:row>
          <xdr:rowOff>142876</xdr:rowOff>
        </xdr:from>
        <xdr:ext cx="742949" cy="228600"/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77F5EA13-F63E-4817-8541-734772268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891</xdr:row>
          <xdr:rowOff>142876</xdr:rowOff>
        </xdr:from>
        <xdr:ext cx="742949" cy="228600"/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E83FA076-B201-4FCB-A650-2AB71915A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892</xdr:row>
          <xdr:rowOff>142876</xdr:rowOff>
        </xdr:from>
        <xdr:ext cx="742949" cy="228600"/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BAD6767-CFEF-46E6-9D39-428F8C35FD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893</xdr:row>
          <xdr:rowOff>142876</xdr:rowOff>
        </xdr:from>
        <xdr:ext cx="742949" cy="228600"/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296F9BA-4CC2-4364-A244-F7F83D00C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894</xdr:row>
          <xdr:rowOff>142876</xdr:rowOff>
        </xdr:from>
        <xdr:ext cx="742949" cy="228600"/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E7BBDC2-C9E3-4D87-B699-5C3F59017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895</xdr:row>
          <xdr:rowOff>142876</xdr:rowOff>
        </xdr:from>
        <xdr:ext cx="742949" cy="228600"/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87FA7AC6-5273-4823-9955-ACB7527393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896</xdr:row>
          <xdr:rowOff>142876</xdr:rowOff>
        </xdr:from>
        <xdr:ext cx="742949" cy="228600"/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7DEA0FC6-1738-4B2F-A0A3-05E4F4A1EC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897</xdr:row>
          <xdr:rowOff>142876</xdr:rowOff>
        </xdr:from>
        <xdr:ext cx="742949" cy="228600"/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DDF1D0C-2013-4358-8835-78737F038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898</xdr:row>
          <xdr:rowOff>142876</xdr:rowOff>
        </xdr:from>
        <xdr:ext cx="742949" cy="228600"/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64FA76C5-63DD-4BA8-97D7-FC7516A9A2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899</xdr:row>
          <xdr:rowOff>142876</xdr:rowOff>
        </xdr:from>
        <xdr:ext cx="742949" cy="228600"/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770C41C1-1277-4506-AB8D-7F8A8532C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900</xdr:row>
          <xdr:rowOff>142876</xdr:rowOff>
        </xdr:from>
        <xdr:ext cx="742949" cy="228600"/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EDE6EF61-A572-4FCF-AF83-BBA879616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901</xdr:row>
          <xdr:rowOff>142876</xdr:rowOff>
        </xdr:from>
        <xdr:ext cx="742949" cy="228600"/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578A1CA2-FB02-41CC-8C3E-166E6BA33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902</xdr:row>
          <xdr:rowOff>142876</xdr:rowOff>
        </xdr:from>
        <xdr:ext cx="742949" cy="228600"/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446CA38C-E348-4955-B392-D20B8FDBD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903</xdr:row>
          <xdr:rowOff>142876</xdr:rowOff>
        </xdr:from>
        <xdr:ext cx="742949" cy="228600"/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4A316090-5BA8-42D7-8624-1C09C7902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904</xdr:row>
          <xdr:rowOff>142876</xdr:rowOff>
        </xdr:from>
        <xdr:ext cx="742949" cy="228600"/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8B08CAE5-8F8E-4A2E-9547-FD55B5FE5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905</xdr:row>
          <xdr:rowOff>142876</xdr:rowOff>
        </xdr:from>
        <xdr:ext cx="742949" cy="228600"/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255F27FB-3334-434C-A124-AAA463075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906</xdr:row>
          <xdr:rowOff>142876</xdr:rowOff>
        </xdr:from>
        <xdr:ext cx="742949" cy="228600"/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32E919EC-AA3B-48E1-9F17-6106911E0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907</xdr:row>
          <xdr:rowOff>142876</xdr:rowOff>
        </xdr:from>
        <xdr:ext cx="742949" cy="228600"/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7A39847B-26EE-4F2A-9D25-88DD76961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908</xdr:row>
          <xdr:rowOff>142876</xdr:rowOff>
        </xdr:from>
        <xdr:ext cx="742949" cy="228600"/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C611DFC5-43F7-4333-B6CE-DA5D33B785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909</xdr:row>
          <xdr:rowOff>142876</xdr:rowOff>
        </xdr:from>
        <xdr:ext cx="742949" cy="228600"/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DC261251-5B5A-4D4F-922E-D1C2D9BE7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910</xdr:row>
          <xdr:rowOff>142876</xdr:rowOff>
        </xdr:from>
        <xdr:ext cx="742949" cy="228600"/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DAAE4855-3657-4C94-8C9D-B110F455B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911</xdr:row>
          <xdr:rowOff>142876</xdr:rowOff>
        </xdr:from>
        <xdr:ext cx="742949" cy="228600"/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4C78B7FA-2667-4275-8CEF-28FCB18F4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912</xdr:row>
          <xdr:rowOff>142876</xdr:rowOff>
        </xdr:from>
        <xdr:ext cx="742949" cy="228600"/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5AC68F9A-54AA-49CA-95DD-B91E5CF5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913</xdr:row>
          <xdr:rowOff>142876</xdr:rowOff>
        </xdr:from>
        <xdr:ext cx="742949" cy="228600"/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E1F164EB-584B-4AAE-8EF2-9AE6BEAA1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914</xdr:row>
          <xdr:rowOff>142876</xdr:rowOff>
        </xdr:from>
        <xdr:ext cx="742949" cy="228600"/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63FC7CCF-44AB-4D6C-B7F9-6595CF2B8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915</xdr:row>
          <xdr:rowOff>142876</xdr:rowOff>
        </xdr:from>
        <xdr:ext cx="742949" cy="228600"/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2C1354B6-7DF8-4A40-8559-C517982E0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916</xdr:row>
          <xdr:rowOff>142876</xdr:rowOff>
        </xdr:from>
        <xdr:ext cx="742949" cy="228600"/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9828C2F6-9F21-405B-8001-1AE5351ED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etCodeTable" displayName="LeetCodeTable" ref="A1:D1331">
  <autoFilter ref="A1:D1331" xr:uid="{00000000-0009-0000-0100-000001000000}">
    <filterColumn colId="3">
      <customFilters>
        <customFilter val="*Google*"/>
      </customFilters>
    </filterColumn>
  </autoFilter>
  <tableColumns count="4">
    <tableColumn id="1" xr3:uid="{00000000-0010-0000-0000-000001000000}" name="Problem"/>
    <tableColumn id="2" xr3:uid="{00000000-0010-0000-0000-000002000000}" name="Difficulty"/>
    <tableColumn id="3" xr3:uid="{00000000-0010-0000-0000-000003000000}" name="Acceptance Rate"/>
    <tableColumn id="4" xr3:uid="{00000000-0010-0000-0000-000004000000}" name="Compani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836" Type="http://schemas.openxmlformats.org/officeDocument/2006/relationships/ctrlProp" Target="../ctrlProps/ctrlProp83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903" Type="http://schemas.openxmlformats.org/officeDocument/2006/relationships/ctrlProp" Target="../ctrlProps/ctrlProp900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807" Type="http://schemas.openxmlformats.org/officeDocument/2006/relationships/ctrlProp" Target="../ctrlProps/ctrlProp804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829" Type="http://schemas.openxmlformats.org/officeDocument/2006/relationships/ctrlProp" Target="../ctrlProps/ctrlProp826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907" Type="http://schemas.openxmlformats.org/officeDocument/2006/relationships/ctrlProp" Target="../ctrlProps/ctrlProp904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797" Type="http://schemas.openxmlformats.org/officeDocument/2006/relationships/ctrlProp" Target="../ctrlProps/ctrlProp794.xml"/><Relationship Id="rId920" Type="http://schemas.openxmlformats.org/officeDocument/2006/relationships/ctrlProp" Target="../ctrlProps/ctrlProp917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02" Type="http://schemas.openxmlformats.org/officeDocument/2006/relationships/ctrlProp" Target="../ctrlProps/ctrlProp799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82" Type="http://schemas.openxmlformats.org/officeDocument/2006/relationships/ctrlProp" Target="../ctrlProps/ctrlProp79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20" Type="http://schemas.openxmlformats.org/officeDocument/2006/relationships/ctrlProp" Target="../ctrlProps/ctrlProp17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42" Type="http://schemas.openxmlformats.org/officeDocument/2006/relationships/ctrlProp" Target="../ctrlProps/ctrlProp3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717" Type="http://schemas.openxmlformats.org/officeDocument/2006/relationships/ctrlProp" Target="../ctrlProps/ctrlProp714.xml"/><Relationship Id="rId924" Type="http://schemas.openxmlformats.org/officeDocument/2006/relationships/table" Target="../tables/table1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64" Type="http://schemas.openxmlformats.org/officeDocument/2006/relationships/ctrlProp" Target="../ctrlProps/ctrlProp61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280" Type="http://schemas.openxmlformats.org/officeDocument/2006/relationships/ctrlProp" Target="../ctrlProps/ctrlProp277.xml"/><Relationship Id="rId501" Type="http://schemas.openxmlformats.org/officeDocument/2006/relationships/ctrlProp" Target="../ctrlProps/ctrlProp498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806" Type="http://schemas.openxmlformats.org/officeDocument/2006/relationships/ctrlProp" Target="../ctrlProps/ctrlProp803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817" Type="http://schemas.openxmlformats.org/officeDocument/2006/relationships/ctrlProp" Target="../ctrlProps/ctrlProp814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4" Type="http://schemas.openxmlformats.org/officeDocument/2006/relationships/ctrlProp" Target="../ctrlProps/ctrlProp21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601" Type="http://schemas.openxmlformats.org/officeDocument/2006/relationships/ctrlProp" Target="../ctrlProps/ctrlProp59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906" Type="http://schemas.openxmlformats.org/officeDocument/2006/relationships/ctrlProp" Target="../ctrlProps/ctrlProp903.xml"/><Relationship Id="rId35" Type="http://schemas.openxmlformats.org/officeDocument/2006/relationships/ctrlProp" Target="../ctrlProps/ctrlProp32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917" Type="http://schemas.openxmlformats.org/officeDocument/2006/relationships/ctrlProp" Target="../ctrlProps/ctrlProp914.xml"/><Relationship Id="rId46" Type="http://schemas.openxmlformats.org/officeDocument/2006/relationships/ctrlProp" Target="../ctrlProps/ctrlProp4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1" Type="http://schemas.openxmlformats.org/officeDocument/2006/relationships/ctrlProp" Target="../ctrlProps/ctrlProp108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79" Type="http://schemas.openxmlformats.org/officeDocument/2006/relationships/ctrlProp" Target="../ctrlProps/ctrlProp76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211" Type="http://schemas.openxmlformats.org/officeDocument/2006/relationships/ctrlProp" Target="../ctrlProps/ctrlProp208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23" Type="http://schemas.openxmlformats.org/officeDocument/2006/relationships/ctrlProp" Target="../ctrlProps/ctrlProp720.xml"/><Relationship Id="rId765" Type="http://schemas.openxmlformats.org/officeDocument/2006/relationships/ctrlProp" Target="../ctrlProps/ctrlProp762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34" Type="http://schemas.openxmlformats.org/officeDocument/2006/relationships/ctrlProp" Target="../ctrlProps/ctrlProp731.xml"/><Relationship Id="rId776" Type="http://schemas.openxmlformats.org/officeDocument/2006/relationships/ctrlProp" Target="../ctrlProps/ctrlProp773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801" Type="http://schemas.openxmlformats.org/officeDocument/2006/relationships/ctrlProp" Target="../ctrlProps/ctrlProp798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43" Type="http://schemas.openxmlformats.org/officeDocument/2006/relationships/ctrlProp" Target="../ctrlProps/ctrlProp840.xml"/><Relationship Id="rId885" Type="http://schemas.openxmlformats.org/officeDocument/2006/relationships/ctrlProp" Target="../ctrlProps/ctrlProp882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745" Type="http://schemas.openxmlformats.org/officeDocument/2006/relationships/ctrlProp" Target="../ctrlProps/ctrlProp742.xml"/><Relationship Id="rId910" Type="http://schemas.openxmlformats.org/officeDocument/2006/relationships/ctrlProp" Target="../ctrlProps/ctrlProp90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787" Type="http://schemas.openxmlformats.org/officeDocument/2006/relationships/ctrlProp" Target="../ctrlProps/ctrlProp784.xml"/><Relationship Id="rId812" Type="http://schemas.openxmlformats.org/officeDocument/2006/relationships/ctrlProp" Target="../ctrlProps/ctrlProp809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854" Type="http://schemas.openxmlformats.org/officeDocument/2006/relationships/ctrlProp" Target="../ctrlProps/ctrlProp851.xml"/><Relationship Id="rId896" Type="http://schemas.openxmlformats.org/officeDocument/2006/relationships/ctrlProp" Target="../ctrlProps/ctrlProp893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756" Type="http://schemas.openxmlformats.org/officeDocument/2006/relationships/ctrlProp" Target="../ctrlProps/ctrlProp753.xml"/><Relationship Id="rId921" Type="http://schemas.openxmlformats.org/officeDocument/2006/relationships/ctrlProp" Target="../ctrlProps/ctrlProp91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823" Type="http://schemas.openxmlformats.org/officeDocument/2006/relationships/ctrlProp" Target="../ctrlProps/ctrlProp820.xml"/><Relationship Id="rId865" Type="http://schemas.openxmlformats.org/officeDocument/2006/relationships/ctrlProp" Target="../ctrlProps/ctrlProp862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767" Type="http://schemas.openxmlformats.org/officeDocument/2006/relationships/ctrlProp" Target="../ctrlProps/ctrlProp764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834" Type="http://schemas.openxmlformats.org/officeDocument/2006/relationships/ctrlProp" Target="../ctrlProps/ctrlProp831.xml"/><Relationship Id="rId876" Type="http://schemas.openxmlformats.org/officeDocument/2006/relationships/ctrlProp" Target="../ctrlProps/ctrlProp873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736" Type="http://schemas.openxmlformats.org/officeDocument/2006/relationships/ctrlProp" Target="../ctrlProps/ctrlProp733.xml"/><Relationship Id="rId901" Type="http://schemas.openxmlformats.org/officeDocument/2006/relationships/ctrlProp" Target="../ctrlProps/ctrlProp898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803" Type="http://schemas.openxmlformats.org/officeDocument/2006/relationships/ctrlProp" Target="../ctrlProps/ctrlProp800.xml"/><Relationship Id="rId845" Type="http://schemas.openxmlformats.org/officeDocument/2006/relationships/ctrlProp" Target="../ctrlProps/ctrlProp84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887" Type="http://schemas.openxmlformats.org/officeDocument/2006/relationships/ctrlProp" Target="../ctrlProps/ctrlProp884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47" Type="http://schemas.openxmlformats.org/officeDocument/2006/relationships/ctrlProp" Target="../ctrlProps/ctrlProp744.xml"/><Relationship Id="rId789" Type="http://schemas.openxmlformats.org/officeDocument/2006/relationships/ctrlProp" Target="../ctrlProps/ctrlProp786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814" Type="http://schemas.openxmlformats.org/officeDocument/2006/relationships/ctrlProp" Target="../ctrlProps/ctrlProp811.xml"/><Relationship Id="rId856" Type="http://schemas.openxmlformats.org/officeDocument/2006/relationships/ctrlProp" Target="../ctrlProps/ctrlProp85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758" Type="http://schemas.openxmlformats.org/officeDocument/2006/relationships/ctrlProp" Target="../ctrlProps/ctrlProp755.xml"/><Relationship Id="rId923" Type="http://schemas.openxmlformats.org/officeDocument/2006/relationships/ctrlProp" Target="../ctrlProps/ctrlProp920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867" Type="http://schemas.openxmlformats.org/officeDocument/2006/relationships/ctrlProp" Target="../ctrlProps/ctrlProp864.xml"/><Relationship Id="rId299" Type="http://schemas.openxmlformats.org/officeDocument/2006/relationships/ctrlProp" Target="../ctrlProps/ctrlProp296.xml"/><Relationship Id="rId727" Type="http://schemas.openxmlformats.org/officeDocument/2006/relationships/ctrlProp" Target="../ctrlProps/ctrlProp724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805" Type="http://schemas.openxmlformats.org/officeDocument/2006/relationships/ctrlProp" Target="../ctrlProps/ctrlProp802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816" Type="http://schemas.openxmlformats.org/officeDocument/2006/relationships/ctrlProp" Target="../ctrlProps/ctrlProp813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827" Type="http://schemas.openxmlformats.org/officeDocument/2006/relationships/ctrlProp" Target="../ctrlProps/ctrlProp824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840" Type="http://schemas.openxmlformats.org/officeDocument/2006/relationships/ctrlProp" Target="../ctrlProps/ctrlProp837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809" Type="http://schemas.openxmlformats.org/officeDocument/2006/relationships/ctrlProp" Target="../ctrlProps/ctrlProp806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733" Type="http://schemas.openxmlformats.org/officeDocument/2006/relationships/ctrlProp" Target="../ctrlProps/ctrlProp730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833" Type="http://schemas.openxmlformats.org/officeDocument/2006/relationships/ctrlProp" Target="../ctrlProps/ctrlProp83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737" Type="http://schemas.openxmlformats.org/officeDocument/2006/relationships/ctrlProp" Target="../ctrlProps/ctrlProp734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850" Type="http://schemas.openxmlformats.org/officeDocument/2006/relationships/ctrlProp" Target="../ctrlProps/ctrlProp847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33"/>
  <sheetViews>
    <sheetView tabSelected="1" topLeftCell="B1" workbookViewId="0">
      <selection activeCell="E1" sqref="E1"/>
    </sheetView>
  </sheetViews>
  <sheetFormatPr defaultRowHeight="14.25" x14ac:dyDescent="0.45"/>
  <cols>
    <col min="1" max="1" width="40.3984375" customWidth="1"/>
    <col min="4" max="4" width="93.531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t="str">
        <f>HYPERLINK("https://leetcode.com/problems/two-sum", "1. Two Sum")</f>
        <v>1. Two Sum</v>
      </c>
      <c r="B2" t="s">
        <v>4</v>
      </c>
      <c r="C2" t="s">
        <v>5</v>
      </c>
      <c r="D2" t="s">
        <v>6</v>
      </c>
    </row>
    <row r="3" spans="1:4" x14ac:dyDescent="0.45">
      <c r="A3" t="str">
        <f>HYPERLINK("https://leetcode.com/problems/longest-palindromic-substring", "5. Longest Palindromic Substring")</f>
        <v>5. Longest Palindromic Substring</v>
      </c>
      <c r="B3" t="s">
        <v>7</v>
      </c>
      <c r="C3" t="s">
        <v>8</v>
      </c>
      <c r="D3" t="s">
        <v>9</v>
      </c>
    </row>
    <row r="4" spans="1:4" x14ac:dyDescent="0.45">
      <c r="A4" t="str">
        <f>HYPERLINK("https://leetcode.com/problems/reverse-integer", "7. Reverse Integer")</f>
        <v>7. Reverse Integer</v>
      </c>
      <c r="B4" t="s">
        <v>7</v>
      </c>
      <c r="C4" t="s">
        <v>10</v>
      </c>
      <c r="D4" t="s">
        <v>11</v>
      </c>
    </row>
    <row r="5" spans="1:4" x14ac:dyDescent="0.45">
      <c r="A5" t="str">
        <f>HYPERLINK("https://leetcode.com/problems/regular-expression-matching", "10. Regular Expression Matching")</f>
        <v>10. Regular Expression Matching</v>
      </c>
      <c r="B5" t="s">
        <v>12</v>
      </c>
      <c r="C5" t="s">
        <v>13</v>
      </c>
      <c r="D5" t="s">
        <v>14</v>
      </c>
    </row>
    <row r="6" spans="1:4" x14ac:dyDescent="0.45">
      <c r="A6" t="str">
        <f>HYPERLINK("https://leetcode.com/problems/container-with-most-water", "11. Container With Most Water")</f>
        <v>11. Container With Most Water</v>
      </c>
      <c r="B6" t="s">
        <v>7</v>
      </c>
      <c r="C6" t="s">
        <v>15</v>
      </c>
      <c r="D6" t="s">
        <v>16</v>
      </c>
    </row>
    <row r="7" spans="1:4" x14ac:dyDescent="0.45">
      <c r="A7" t="str">
        <f>HYPERLINK("https://leetcode.com/problems/integer-to-roman", "12. Integer to Roman")</f>
        <v>12. Integer to Roman</v>
      </c>
      <c r="B7" t="s">
        <v>7</v>
      </c>
      <c r="C7" t="s">
        <v>17</v>
      </c>
      <c r="D7" t="s">
        <v>18</v>
      </c>
    </row>
    <row r="8" spans="1:4" x14ac:dyDescent="0.45">
      <c r="A8" t="str">
        <f>HYPERLINK("https://leetcode.com/problems/3sum-closest", "16. 3Sum Closest")</f>
        <v>16. 3Sum Closest</v>
      </c>
      <c r="B8" t="s">
        <v>7</v>
      </c>
      <c r="C8" t="s">
        <v>19</v>
      </c>
      <c r="D8" t="s">
        <v>20</v>
      </c>
    </row>
    <row r="9" spans="1:4" x14ac:dyDescent="0.45">
      <c r="A9" t="str">
        <f>HYPERLINK("https://leetcode.com/problems/merge-k-sorted-lists", "23. Merge k Sorted Lists")</f>
        <v>23. Merge k Sorted Lists</v>
      </c>
      <c r="B9" t="s">
        <v>12</v>
      </c>
      <c r="C9" t="s">
        <v>21</v>
      </c>
      <c r="D9" t="s">
        <v>22</v>
      </c>
    </row>
    <row r="10" spans="1:4" x14ac:dyDescent="0.45">
      <c r="A10" t="str">
        <f>HYPERLINK("https://leetcode.com/problems/longest-valid-parentheses", "32. Longest Valid Parentheses")</f>
        <v>32. Longest Valid Parentheses</v>
      </c>
      <c r="B10" t="s">
        <v>12</v>
      </c>
      <c r="C10" t="s">
        <v>23</v>
      </c>
      <c r="D10" t="s">
        <v>11</v>
      </c>
    </row>
    <row r="11" spans="1:4" x14ac:dyDescent="0.45">
      <c r="A11" t="str">
        <f>HYPERLINK("https://leetcode.com/problems/rotate-image", "48. Rotate Image")</f>
        <v>48. Rotate Image</v>
      </c>
      <c r="B11" t="s">
        <v>7</v>
      </c>
      <c r="C11" t="s">
        <v>24</v>
      </c>
      <c r="D11" t="s">
        <v>25</v>
      </c>
    </row>
    <row r="12" spans="1:4" x14ac:dyDescent="0.45">
      <c r="A12" t="str">
        <f>HYPERLINK("https://leetcode.com/problems/maximum-subarray", "53. Maximum Subarray")</f>
        <v>53. Maximum Subarray</v>
      </c>
      <c r="B12" t="s">
        <v>7</v>
      </c>
      <c r="C12" t="s">
        <v>26</v>
      </c>
      <c r="D12" t="s">
        <v>27</v>
      </c>
    </row>
    <row r="13" spans="1:4" x14ac:dyDescent="0.45">
      <c r="A13" t="str">
        <f>HYPERLINK("https://leetcode.com/problems/spiral-matrix", "54. Spiral Matrix")</f>
        <v>54. Spiral Matrix</v>
      </c>
      <c r="B13" t="s">
        <v>7</v>
      </c>
      <c r="C13" t="s">
        <v>28</v>
      </c>
      <c r="D13" t="s">
        <v>29</v>
      </c>
    </row>
    <row r="14" spans="1:4" x14ac:dyDescent="0.45">
      <c r="A14" t="str">
        <f>HYPERLINK("https://leetcode.com/problems/minimum-path-sum", "64. Minimum Path Sum")</f>
        <v>64. Minimum Path Sum</v>
      </c>
      <c r="B14" t="s">
        <v>7</v>
      </c>
      <c r="C14" t="s">
        <v>30</v>
      </c>
      <c r="D14" t="s">
        <v>31</v>
      </c>
    </row>
    <row r="15" spans="1:4" x14ac:dyDescent="0.45">
      <c r="A15" t="str">
        <f>HYPERLINK("https://leetcode.com/problems/subsets-ii", "90. Subsets II")</f>
        <v>90. Subsets II</v>
      </c>
      <c r="B15" t="s">
        <v>7</v>
      </c>
      <c r="C15" t="s">
        <v>32</v>
      </c>
      <c r="D15" t="s">
        <v>11</v>
      </c>
    </row>
    <row r="16" spans="1:4" x14ac:dyDescent="0.45">
      <c r="A16" t="str">
        <f>HYPERLINK("https://leetcode.com/problems/detect-squares", "2013. Detect Squares")</f>
        <v>2013. Detect Squares</v>
      </c>
      <c r="B16" t="s">
        <v>7</v>
      </c>
      <c r="C16" t="s">
        <v>33</v>
      </c>
      <c r="D16" t="s">
        <v>34</v>
      </c>
    </row>
    <row r="17" spans="1:4" x14ac:dyDescent="0.45">
      <c r="A17" t="str">
        <f>HYPERLINK("https://leetcode.com/problems/median-of-two-sorted-arrays", "4. Median of Two Sorted Arrays")</f>
        <v>4. Median of Two Sorted Arrays</v>
      </c>
      <c r="B17" t="s">
        <v>12</v>
      </c>
      <c r="C17" t="s">
        <v>35</v>
      </c>
      <c r="D17" t="s">
        <v>36</v>
      </c>
    </row>
    <row r="18" spans="1:4" x14ac:dyDescent="0.45">
      <c r="A18" t="str">
        <f>HYPERLINK("https://leetcode.com/problems/pascal's-triangle", "118. Pascal's Triangle")</f>
        <v>118. Pascal's Triangle</v>
      </c>
      <c r="B18" t="s">
        <v>4</v>
      </c>
      <c r="C18" t="s">
        <v>37</v>
      </c>
      <c r="D18" t="s">
        <v>31</v>
      </c>
    </row>
    <row r="19" spans="1:4" x14ac:dyDescent="0.45">
      <c r="A19" t="str">
        <f>HYPERLINK("https://leetcode.com/problems/binary-tree-maximum-path-sum", "124. Binary Tree Maximum Path Sum")</f>
        <v>124. Binary Tree Maximum Path Sum</v>
      </c>
      <c r="B19" t="s">
        <v>12</v>
      </c>
      <c r="C19" t="s">
        <v>38</v>
      </c>
      <c r="D19" t="s">
        <v>39</v>
      </c>
    </row>
    <row r="20" spans="1:4" x14ac:dyDescent="0.45">
      <c r="A20" t="str">
        <f>HYPERLINK("https://leetcode.com/problems/longest-consecutive-sequence", "128. Longest Consecutive Sequence")</f>
        <v>128. Longest Consecutive Sequence</v>
      </c>
      <c r="B20" t="s">
        <v>7</v>
      </c>
      <c r="C20" t="s">
        <v>40</v>
      </c>
      <c r="D20" t="s">
        <v>36</v>
      </c>
    </row>
    <row r="21" spans="1:4" x14ac:dyDescent="0.45">
      <c r="A21" t="str">
        <f>HYPERLINK("https://leetcode.com/problems/surrounded-regions", "130. Surrounded Regions")</f>
        <v>130. Surrounded Regions</v>
      </c>
      <c r="B21" t="s">
        <v>7</v>
      </c>
      <c r="C21" t="s">
        <v>41</v>
      </c>
      <c r="D21" t="s">
        <v>11</v>
      </c>
    </row>
    <row r="22" spans="1:4" x14ac:dyDescent="0.45">
      <c r="A22" t="str">
        <f>HYPERLINK("https://leetcode.com/problems/copy-list-with-random-pointer", "138. Copy List with Random Pointer")</f>
        <v>138. Copy List with Random Pointer</v>
      </c>
      <c r="B22" t="s">
        <v>7</v>
      </c>
      <c r="C22" t="s">
        <v>42</v>
      </c>
      <c r="D22" t="s">
        <v>11</v>
      </c>
    </row>
    <row r="23" spans="1:4" x14ac:dyDescent="0.45">
      <c r="A23" t="str">
        <f>HYPERLINK("https://leetcode.com/problems/detonate-the-maximum-bombs", "2101. Detonate the Maximum Bombs")</f>
        <v>2101. Detonate the Maximum Bombs</v>
      </c>
      <c r="B23" t="s">
        <v>7</v>
      </c>
      <c r="C23" t="s">
        <v>43</v>
      </c>
      <c r="D23" t="s">
        <v>44</v>
      </c>
    </row>
    <row r="24" spans="1:4" x14ac:dyDescent="0.45">
      <c r="A24" t="str">
        <f>HYPERLINK("https://leetcode.com/problems/find-all-possible-recipes-from-given-supplies", "2115. Find All Possible Recipes from Given Supplies")</f>
        <v>2115. Find All Possible Recipes from Given Supplies</v>
      </c>
      <c r="B24" t="s">
        <v>7</v>
      </c>
      <c r="C24" t="s">
        <v>45</v>
      </c>
      <c r="D24" t="s">
        <v>46</v>
      </c>
    </row>
    <row r="25" spans="1:4" x14ac:dyDescent="0.45">
      <c r="A25" t="str">
        <f>HYPERLINK("https://leetcode.com/problems/house-robber", "198. House Robber")</f>
        <v>198. House Robber</v>
      </c>
      <c r="B25" t="s">
        <v>7</v>
      </c>
      <c r="C25" t="s">
        <v>47</v>
      </c>
      <c r="D25" t="s">
        <v>48</v>
      </c>
    </row>
    <row r="26" spans="1:4" x14ac:dyDescent="0.45">
      <c r="A26" t="str">
        <f>HYPERLINK("https://leetcode.com/problems/isomorphic-strings", "205. Isomorphic Strings")</f>
        <v>205. Isomorphic Strings</v>
      </c>
      <c r="B26" t="s">
        <v>4</v>
      </c>
      <c r="C26" t="s">
        <v>49</v>
      </c>
      <c r="D26" t="s">
        <v>50</v>
      </c>
    </row>
    <row r="27" spans="1:4" x14ac:dyDescent="0.45">
      <c r="A27" t="str">
        <f>HYPERLINK("https://leetcode.com/problems/reverse-linked-list", "206. Reverse Linked List")</f>
        <v>206. Reverse Linked List</v>
      </c>
      <c r="B27" t="s">
        <v>4</v>
      </c>
      <c r="C27" t="s">
        <v>51</v>
      </c>
      <c r="D27" t="s">
        <v>52</v>
      </c>
    </row>
    <row r="28" spans="1:4" x14ac:dyDescent="0.45">
      <c r="A28" t="str">
        <f>HYPERLINK("https://leetcode.com/problems/implement-stack-using-queues", "225. Implement Stack using Queues")</f>
        <v>225. Implement Stack using Queues</v>
      </c>
      <c r="B28" t="s">
        <v>4</v>
      </c>
      <c r="C28" t="s">
        <v>53</v>
      </c>
      <c r="D28" t="s">
        <v>54</v>
      </c>
    </row>
    <row r="29" spans="1:4" x14ac:dyDescent="0.45">
      <c r="A29" t="str">
        <f>HYPERLINK("https://leetcode.com/problems/delete-node-in-a-linked-list", "237. Delete Node in a Linked List")</f>
        <v>237. Delete Node in a Linked List</v>
      </c>
      <c r="B29" t="s">
        <v>7</v>
      </c>
      <c r="C29" t="s">
        <v>55</v>
      </c>
      <c r="D29" t="s">
        <v>20</v>
      </c>
    </row>
    <row r="30" spans="1:4" x14ac:dyDescent="0.45">
      <c r="A30" t="str">
        <f>HYPERLINK("https://leetcode.com/problems/valid-anagram", "242. Valid Anagram")</f>
        <v>242. Valid Anagram</v>
      </c>
      <c r="B30" t="s">
        <v>4</v>
      </c>
      <c r="C30" t="s">
        <v>56</v>
      </c>
      <c r="D30" t="s">
        <v>52</v>
      </c>
    </row>
    <row r="31" spans="1:4" x14ac:dyDescent="0.45">
      <c r="A31" t="str">
        <f>HYPERLINK("https://leetcode.com/problems/missing-number", "268. Missing Number")</f>
        <v>268. Missing Number</v>
      </c>
      <c r="B31" t="s">
        <v>4</v>
      </c>
      <c r="C31" t="s">
        <v>57</v>
      </c>
      <c r="D31" t="s">
        <v>31</v>
      </c>
    </row>
    <row r="32" spans="1:4" x14ac:dyDescent="0.45">
      <c r="A32" t="str">
        <f>HYPERLINK("https://leetcode.com/problems/find-the-duplicate-number", "287. Find the Duplicate Number")</f>
        <v>287. Find the Duplicate Number</v>
      </c>
      <c r="B32" t="s">
        <v>7</v>
      </c>
      <c r="C32" t="s">
        <v>58</v>
      </c>
      <c r="D32" t="s">
        <v>54</v>
      </c>
    </row>
    <row r="33" spans="1:4" x14ac:dyDescent="0.45">
      <c r="A33" t="str">
        <f>HYPERLINK("https://leetcode.com/problems/longest-increasing-subsequence", "300. Longest Increasing Subsequence")</f>
        <v>300. Longest Increasing Subsequence</v>
      </c>
      <c r="B33" t="s">
        <v>7</v>
      </c>
      <c r="C33" t="s">
        <v>15</v>
      </c>
      <c r="D33" t="s">
        <v>59</v>
      </c>
    </row>
    <row r="34" spans="1:4" x14ac:dyDescent="0.45">
      <c r="A34" t="str">
        <f>HYPERLINK("https://leetcode.com/problems/burst-balloons", "312. Burst Balloons")</f>
        <v>312. Burst Balloons</v>
      </c>
      <c r="B34" t="s">
        <v>12</v>
      </c>
      <c r="C34" t="s">
        <v>60</v>
      </c>
      <c r="D34" t="s">
        <v>61</v>
      </c>
    </row>
    <row r="35" spans="1:4" x14ac:dyDescent="0.45">
      <c r="A35" t="str">
        <f>HYPERLINK("https://leetcode.com/problems/shortest-distance-from-all-buildings", "317. Shortest Distance from All Buildings")</f>
        <v>317. Shortest Distance from All Buildings</v>
      </c>
      <c r="B35" t="s">
        <v>12</v>
      </c>
      <c r="C35" t="s">
        <v>62</v>
      </c>
      <c r="D35" t="s">
        <v>63</v>
      </c>
    </row>
    <row r="36" spans="1:4" x14ac:dyDescent="0.45">
      <c r="A36" t="str">
        <f>HYPERLINK("https://leetcode.com/problems/number-of-connected-components-in-an-undirected-graph", "323. Number of Connected Components in an Undirected Graph")</f>
        <v>323. Number of Connected Components in an Undirected Graph</v>
      </c>
      <c r="B36" t="s">
        <v>7</v>
      </c>
      <c r="C36" t="s">
        <v>64</v>
      </c>
      <c r="D36" t="s">
        <v>65</v>
      </c>
    </row>
    <row r="37" spans="1:4" x14ac:dyDescent="0.45">
      <c r="A37" t="str">
        <f>HYPERLINK("https://leetcode.com/problems/reverse-string", "344. Reverse String")</f>
        <v>344. Reverse String</v>
      </c>
      <c r="B37" t="s">
        <v>4</v>
      </c>
      <c r="C37" t="s">
        <v>66</v>
      </c>
      <c r="D37" t="s">
        <v>14</v>
      </c>
    </row>
    <row r="38" spans="1:4" x14ac:dyDescent="0.45">
      <c r="A38" t="str">
        <f>HYPERLINK("https://leetcode.com/problems/moving-average-from-data-stream", "346. Moving Average from Data Stream")</f>
        <v>346. Moving Average from Data Stream</v>
      </c>
      <c r="B38" t="s">
        <v>4</v>
      </c>
      <c r="C38" t="s">
        <v>67</v>
      </c>
      <c r="D38" t="s">
        <v>68</v>
      </c>
    </row>
    <row r="39" spans="1:4" x14ac:dyDescent="0.45">
      <c r="A39" t="str">
        <f>HYPERLINK("https://leetcode.com/problems/intersection-of-two-arrays", "349. Intersection of Two Arrays")</f>
        <v>349. Intersection of Two Arrays</v>
      </c>
      <c r="B39" t="s">
        <v>4</v>
      </c>
      <c r="C39" t="s">
        <v>69</v>
      </c>
      <c r="D39" t="s">
        <v>54</v>
      </c>
    </row>
    <row r="40" spans="1:4" x14ac:dyDescent="0.45">
      <c r="A40" t="str">
        <f>HYPERLINK("https://leetcode.com/problems/first-unique-character-in-a-string", "387. First Unique Character in a String")</f>
        <v>387. First Unique Character in a String</v>
      </c>
      <c r="B40" t="s">
        <v>4</v>
      </c>
      <c r="C40" t="s">
        <v>70</v>
      </c>
      <c r="D40" t="s">
        <v>71</v>
      </c>
    </row>
    <row r="41" spans="1:4" x14ac:dyDescent="0.45">
      <c r="A41" t="str">
        <f>HYPERLINK("https://leetcode.com/problems/decode-string", "394. Decode String")</f>
        <v>394. Decode String</v>
      </c>
      <c r="B41" t="s">
        <v>7</v>
      </c>
      <c r="C41" t="s">
        <v>60</v>
      </c>
      <c r="D41" t="s">
        <v>72</v>
      </c>
    </row>
    <row r="42" spans="1:4" x14ac:dyDescent="0.45">
      <c r="A42" t="str">
        <f>HYPERLINK("https://leetcode.com/problems/evaluate-division", "399. Evaluate Division")</f>
        <v>399. Evaluate Division</v>
      </c>
      <c r="B42" t="s">
        <v>7</v>
      </c>
      <c r="C42" t="s">
        <v>73</v>
      </c>
      <c r="D42" t="s">
        <v>74</v>
      </c>
    </row>
    <row r="43" spans="1:4" x14ac:dyDescent="0.45">
      <c r="A43" t="str">
        <f>HYPERLINK("https://leetcode.com/problems/trapping-rain-water-ii", "407. Trapping Rain Water II")</f>
        <v>407. Trapping Rain Water II</v>
      </c>
      <c r="B43" t="s">
        <v>12</v>
      </c>
      <c r="C43" t="s">
        <v>75</v>
      </c>
      <c r="D43" t="s">
        <v>76</v>
      </c>
    </row>
    <row r="44" spans="1:4" x14ac:dyDescent="0.45">
      <c r="A44" t="str">
        <f>HYPERLINK("https://leetcode.com/problems/pacific-atlantic-water-flow", "417. Pacific Atlantic Water Flow")</f>
        <v>417. Pacific Atlantic Water Flow</v>
      </c>
      <c r="B44" t="s">
        <v>7</v>
      </c>
      <c r="C44" t="s">
        <v>77</v>
      </c>
      <c r="D44" t="s">
        <v>68</v>
      </c>
    </row>
    <row r="45" spans="1:4" x14ac:dyDescent="0.45">
      <c r="A45" t="str">
        <f>HYPERLINK("https://leetcode.com/problems/meeting-rooms-iii", "2402. Meeting Rooms III")</f>
        <v>2402. Meeting Rooms III</v>
      </c>
      <c r="B45" t="s">
        <v>12</v>
      </c>
      <c r="C45" t="s">
        <v>78</v>
      </c>
      <c r="D45" t="s">
        <v>79</v>
      </c>
    </row>
    <row r="46" spans="1:4" x14ac:dyDescent="0.45">
      <c r="A46" t="str">
        <f>HYPERLINK("https://leetcode.com/problems/target-sum", "494. Target Sum")</f>
        <v>494. Target Sum</v>
      </c>
      <c r="B46" t="s">
        <v>7</v>
      </c>
      <c r="C46" t="s">
        <v>80</v>
      </c>
      <c r="D46" t="s">
        <v>11</v>
      </c>
    </row>
    <row r="47" spans="1:4" x14ac:dyDescent="0.45">
      <c r="A47" t="str">
        <f>HYPERLINK("https://leetcode.com/problems/subarray-sum-equals-k", "560. Subarray Sum Equals K")</f>
        <v>560. Subarray Sum Equals K</v>
      </c>
      <c r="B47" t="s">
        <v>7</v>
      </c>
      <c r="C47" t="s">
        <v>81</v>
      </c>
      <c r="D47" t="s">
        <v>82</v>
      </c>
    </row>
    <row r="48" spans="1:4" x14ac:dyDescent="0.45">
      <c r="A48" t="str">
        <f>HYPERLINK("https://leetcode.com/problems/time-taken-to-cross-the-door", "2534. Time Taken to Cross the Door")</f>
        <v>2534. Time Taken to Cross the Door</v>
      </c>
      <c r="B48" t="s">
        <v>12</v>
      </c>
      <c r="C48" t="s">
        <v>83</v>
      </c>
      <c r="D48" t="s">
        <v>44</v>
      </c>
    </row>
    <row r="49" spans="1:4" x14ac:dyDescent="0.45">
      <c r="A49" t="str">
        <f>HYPERLINK("https://leetcode.com/problems/big-countries", "595. Big Countries")</f>
        <v>595. Big Countries</v>
      </c>
      <c r="B49" t="s">
        <v>4</v>
      </c>
      <c r="C49" t="s">
        <v>84</v>
      </c>
      <c r="D49" t="s">
        <v>11</v>
      </c>
    </row>
    <row r="50" spans="1:4" x14ac:dyDescent="0.45">
      <c r="A50" t="str">
        <f>HYPERLINK("https://leetcode.com/problems/create-hello-world-function", "2667. Create Hello World Function")</f>
        <v>2667. Create Hello World Function</v>
      </c>
      <c r="B50" t="s">
        <v>4</v>
      </c>
      <c r="C50" t="s">
        <v>85</v>
      </c>
      <c r="D50" t="s">
        <v>11</v>
      </c>
    </row>
    <row r="51" spans="1:4" x14ac:dyDescent="0.45">
      <c r="A51" t="str">
        <f>HYPERLINK("https://leetcode.com/problems/to-be-or-not-to-be", "2704. To Be Or Not To Be")</f>
        <v>2704. To Be Or Not To Be</v>
      </c>
      <c r="B51" t="s">
        <v>4</v>
      </c>
      <c r="C51" t="s">
        <v>73</v>
      </c>
      <c r="D51" t="s">
        <v>54</v>
      </c>
    </row>
    <row r="52" spans="1:4" x14ac:dyDescent="0.45">
      <c r="A52" t="str">
        <f>HYPERLINK("https://leetcode.com/problems/robot-room-cleaner", "489. Robot Room Cleaner")</f>
        <v>489. Robot Room Cleaner</v>
      </c>
      <c r="B52" t="s">
        <v>12</v>
      </c>
      <c r="C52" t="s">
        <v>86</v>
      </c>
      <c r="D52" t="s">
        <v>87</v>
      </c>
    </row>
    <row r="53" spans="1:4" x14ac:dyDescent="0.45">
      <c r="A53" t="str">
        <f>HYPERLINK("https://leetcode.com/problems/find-the-safest-path-in-a-grid", "2812. Find the Safest Path in a Grid")</f>
        <v>2812. Find the Safest Path in a Grid</v>
      </c>
      <c r="B53" t="s">
        <v>7</v>
      </c>
      <c r="C53" t="s">
        <v>88</v>
      </c>
      <c r="D53" t="s">
        <v>44</v>
      </c>
    </row>
    <row r="54" spans="1:4" x14ac:dyDescent="0.45">
      <c r="A54" t="str">
        <f>HYPERLINK("https://leetcode.com/problems/hand-of-straights", "846. Hand of Straights")</f>
        <v>846. Hand of Straights</v>
      </c>
      <c r="B54" t="s">
        <v>7</v>
      </c>
      <c r="C54" t="s">
        <v>89</v>
      </c>
      <c r="D54" t="s">
        <v>61</v>
      </c>
    </row>
    <row r="55" spans="1:4" x14ac:dyDescent="0.45">
      <c r="A55" t="str">
        <f>HYPERLINK("https://leetcode.com/problems/fruit-into-baskets", "904. Fruit Into Baskets")</f>
        <v>904. Fruit Into Baskets</v>
      </c>
      <c r="B55" t="s">
        <v>7</v>
      </c>
      <c r="C55" t="s">
        <v>90</v>
      </c>
      <c r="D55" t="s">
        <v>91</v>
      </c>
    </row>
    <row r="56" spans="1:4" x14ac:dyDescent="0.45">
      <c r="A56" t="str">
        <f>HYPERLINK("https://leetcode.com/problems/sum-of-subarray-minimums", "907. Sum of Subarray Minimums")</f>
        <v>907. Sum of Subarray Minimums</v>
      </c>
      <c r="B56" t="s">
        <v>7</v>
      </c>
      <c r="C56" t="s">
        <v>92</v>
      </c>
      <c r="D56" t="s">
        <v>68</v>
      </c>
    </row>
    <row r="57" spans="1:4" x14ac:dyDescent="0.45">
      <c r="A57" t="str">
        <f>HYPERLINK("https://leetcode.com/problems/odd-even-jump", "975. Odd Even Jump")</f>
        <v>975. Odd Even Jump</v>
      </c>
      <c r="B57" t="s">
        <v>12</v>
      </c>
      <c r="C57" t="s">
        <v>93</v>
      </c>
      <c r="D57" t="s">
        <v>44</v>
      </c>
    </row>
    <row r="58" spans="1:4" x14ac:dyDescent="0.45">
      <c r="A58" t="str">
        <f>HYPERLINK("https://leetcode.com/problems/get-the-size-of-a-dataframe", "2878. Get the Size of a DataFrame")</f>
        <v>2878. Get the Size of a DataFrame</v>
      </c>
      <c r="B58" t="s">
        <v>4</v>
      </c>
      <c r="C58" t="s">
        <v>94</v>
      </c>
      <c r="D58" t="s">
        <v>44</v>
      </c>
    </row>
    <row r="59" spans="1:4" x14ac:dyDescent="0.45">
      <c r="A59" t="str">
        <f>HYPERLINK("https://leetcode.com/problems/minimum-remove-to-make-valid-parentheses", "1249. Minimum Remove to Make Valid Parentheses")</f>
        <v>1249. Minimum Remove to Make Valid Parentheses</v>
      </c>
      <c r="B59" t="s">
        <v>7</v>
      </c>
      <c r="C59" t="s">
        <v>95</v>
      </c>
      <c r="D59" t="s">
        <v>11</v>
      </c>
    </row>
    <row r="60" spans="1:4" x14ac:dyDescent="0.45">
      <c r="A60" t="str">
        <f>HYPERLINK("https://leetcode.com/problems/make-the-string-great", "1544. Make The String Great")</f>
        <v>1544. Make The String Great</v>
      </c>
      <c r="B60" t="s">
        <v>4</v>
      </c>
      <c r="C60" t="s">
        <v>84</v>
      </c>
      <c r="D60" t="s">
        <v>44</v>
      </c>
    </row>
    <row r="61" spans="1:4" x14ac:dyDescent="0.45">
      <c r="A61" t="str">
        <f>HYPERLINK("https://leetcode.com/problems/recyclable-and-low-fat-products", "1757. Recyclable and Low Fat Products")</f>
        <v>1757. Recyclable and Low Fat Products</v>
      </c>
      <c r="B61" t="s">
        <v>4</v>
      </c>
      <c r="C61" t="s">
        <v>96</v>
      </c>
      <c r="D61" t="s">
        <v>11</v>
      </c>
    </row>
    <row r="62" spans="1:4" x14ac:dyDescent="0.45">
      <c r="A62" t="str">
        <f>HYPERLINK("https://leetcode.com/problems/smallest-string-starting-from-leaf", "988. Smallest String Starting From Leaf")</f>
        <v>988. Smallest String Starting From Leaf</v>
      </c>
      <c r="B62" t="s">
        <v>7</v>
      </c>
      <c r="C62" t="s">
        <v>97</v>
      </c>
      <c r="D62" t="s">
        <v>44</v>
      </c>
    </row>
    <row r="63" spans="1:4" x14ac:dyDescent="0.45">
      <c r="A63" t="str">
        <f>HYPERLINK("https://leetcode.com/problems/rotate-list", "61. Rotate List")</f>
        <v>61. Rotate List</v>
      </c>
      <c r="B63" t="s">
        <v>7</v>
      </c>
      <c r="C63" t="s">
        <v>98</v>
      </c>
      <c r="D63" t="s">
        <v>99</v>
      </c>
    </row>
    <row r="64" spans="1:4" x14ac:dyDescent="0.45">
      <c r="A64" t="str">
        <f>HYPERLINK("https://leetcode.com/problems/single-number-ii", "137. Single Number II")</f>
        <v>137. Single Number II</v>
      </c>
      <c r="B64" t="s">
        <v>7</v>
      </c>
      <c r="C64" t="s">
        <v>100</v>
      </c>
      <c r="D64" t="s">
        <v>34</v>
      </c>
    </row>
    <row r="65" spans="1:4" x14ac:dyDescent="0.45">
      <c r="A65" t="str">
        <f>HYPERLINK("https://leetcode.com/problems/second-highest-salary", "176. Second Highest Salary")</f>
        <v>176. Second Highest Salary</v>
      </c>
      <c r="B65" t="s">
        <v>7</v>
      </c>
      <c r="C65" t="s">
        <v>35</v>
      </c>
      <c r="D65" t="s">
        <v>11</v>
      </c>
    </row>
    <row r="66" spans="1:4" x14ac:dyDescent="0.45">
      <c r="A66" t="str">
        <f>HYPERLINK("https://leetcode.com/problems/word-search-ii", "212. Word Search II")</f>
        <v>212. Word Search II</v>
      </c>
      <c r="B66" t="s">
        <v>12</v>
      </c>
      <c r="C66" t="s">
        <v>101</v>
      </c>
      <c r="D66" t="s">
        <v>102</v>
      </c>
    </row>
    <row r="67" spans="1:4" x14ac:dyDescent="0.45">
      <c r="A67" t="str">
        <f>HYPERLINK("https://leetcode.com/problems/graph-valid-tree", "261. Graph Valid Tree")</f>
        <v>261. Graph Valid Tree</v>
      </c>
      <c r="B67" t="s">
        <v>7</v>
      </c>
      <c r="C67" t="s">
        <v>103</v>
      </c>
      <c r="D67" t="s">
        <v>104</v>
      </c>
    </row>
    <row r="68" spans="1:4" x14ac:dyDescent="0.45">
      <c r="A68" t="str">
        <f>HYPERLINK("https://leetcode.com/problems/minimum-falling-path-sum", "931. Minimum Falling Path Sum")</f>
        <v>931. Minimum Falling Path Sum</v>
      </c>
      <c r="B68" t="s">
        <v>7</v>
      </c>
      <c r="C68" t="s">
        <v>105</v>
      </c>
      <c r="D68" t="s">
        <v>61</v>
      </c>
    </row>
    <row r="69" spans="1:4" x14ac:dyDescent="0.45">
      <c r="A69" t="str">
        <f>HYPERLINK("https://leetcode.com/problems/add-two-numbers", "2. Add Two Numbers")</f>
        <v>2. Add Two Numbers</v>
      </c>
      <c r="B69" t="s">
        <v>7</v>
      </c>
      <c r="C69" t="s">
        <v>106</v>
      </c>
      <c r="D69" t="s">
        <v>52</v>
      </c>
    </row>
    <row r="70" spans="1:4" x14ac:dyDescent="0.45">
      <c r="A70" t="str">
        <f>HYPERLINK("https://leetcode.com/problems/longest-substring-without-repeating-characters", "3. Longest Substring Without Repeating Characters")</f>
        <v>3. Longest Substring Without Repeating Characters</v>
      </c>
      <c r="B70" t="s">
        <v>7</v>
      </c>
      <c r="C70" t="s">
        <v>107</v>
      </c>
      <c r="D70" t="s">
        <v>108</v>
      </c>
    </row>
    <row r="71" spans="1:4" x14ac:dyDescent="0.45">
      <c r="A71" t="str">
        <f>HYPERLINK("https://leetcode.com/problems/zigzag-conversion", "6. Zigzag Conversion")</f>
        <v>6. Zigzag Conversion</v>
      </c>
      <c r="B71" t="s">
        <v>7</v>
      </c>
      <c r="C71" t="s">
        <v>109</v>
      </c>
      <c r="D71" t="s">
        <v>110</v>
      </c>
    </row>
    <row r="72" spans="1:4" x14ac:dyDescent="0.45">
      <c r="A72" t="str">
        <f>HYPERLINK("https://leetcode.com/problems/string-to-integer-(atoi)", "8. String to Integer (atoi)")</f>
        <v>8. String to Integer (atoi)</v>
      </c>
      <c r="B72" t="s">
        <v>7</v>
      </c>
      <c r="C72" t="s">
        <v>111</v>
      </c>
      <c r="D72" t="s">
        <v>112</v>
      </c>
    </row>
    <row r="73" spans="1:4" x14ac:dyDescent="0.45">
      <c r="A73" t="str">
        <f>HYPERLINK("https://leetcode.com/problems/palindrome-number", "9. Palindrome Number")</f>
        <v>9. Palindrome Number</v>
      </c>
      <c r="B73" t="s">
        <v>4</v>
      </c>
      <c r="C73" t="s">
        <v>113</v>
      </c>
      <c r="D73" t="s">
        <v>114</v>
      </c>
    </row>
    <row r="74" spans="1:4" x14ac:dyDescent="0.45">
      <c r="A74" t="str">
        <f>HYPERLINK("https://leetcode.com/problems/roman-to-integer", "13. Roman to Integer")</f>
        <v>13. Roman to Integer</v>
      </c>
      <c r="B74" t="s">
        <v>4</v>
      </c>
      <c r="C74" t="s">
        <v>115</v>
      </c>
      <c r="D74" t="s">
        <v>116</v>
      </c>
    </row>
    <row r="75" spans="1:4" x14ac:dyDescent="0.45">
      <c r="A75" t="str">
        <f>HYPERLINK("https://leetcode.com/problems/longest-common-prefix", "14. Longest Common Prefix")</f>
        <v>14. Longest Common Prefix</v>
      </c>
      <c r="B75" t="s">
        <v>4</v>
      </c>
      <c r="C75" t="s">
        <v>81</v>
      </c>
      <c r="D75" t="s">
        <v>117</v>
      </c>
    </row>
    <row r="76" spans="1:4" x14ac:dyDescent="0.45">
      <c r="A76" t="str">
        <f>HYPERLINK("https://leetcode.com/problems/3sum", "15. 3Sum")</f>
        <v>15. 3Sum</v>
      </c>
      <c r="B76" t="s">
        <v>7</v>
      </c>
      <c r="C76" t="s">
        <v>118</v>
      </c>
      <c r="D76" t="s">
        <v>119</v>
      </c>
    </row>
    <row r="77" spans="1:4" x14ac:dyDescent="0.45">
      <c r="A77" t="str">
        <f>HYPERLINK("https://leetcode.com/problems/letter-combinations-of-a-phone-number", "17. Letter Combinations of a Phone Number")</f>
        <v>17. Letter Combinations of a Phone Number</v>
      </c>
      <c r="B77" t="s">
        <v>7</v>
      </c>
      <c r="C77" t="s">
        <v>70</v>
      </c>
      <c r="D77" t="s">
        <v>120</v>
      </c>
    </row>
    <row r="78" spans="1:4" x14ac:dyDescent="0.45">
      <c r="A78" t="str">
        <f>HYPERLINK("https://leetcode.com/problems/4sum", "18. 4Sum")</f>
        <v>18. 4Sum</v>
      </c>
      <c r="B78" t="s">
        <v>7</v>
      </c>
      <c r="C78" t="s">
        <v>121</v>
      </c>
      <c r="D78" t="s">
        <v>11</v>
      </c>
    </row>
    <row r="79" spans="1:4" x14ac:dyDescent="0.45">
      <c r="A79" t="str">
        <f>HYPERLINK("https://leetcode.com/problems/remove-nth-node-from-end-of-list", "19. Remove Nth Node From End of List")</f>
        <v>19. Remove Nth Node From End of List</v>
      </c>
      <c r="B79" t="s">
        <v>7</v>
      </c>
      <c r="C79" t="s">
        <v>122</v>
      </c>
      <c r="D79" t="s">
        <v>14</v>
      </c>
    </row>
    <row r="80" spans="1:4" x14ac:dyDescent="0.45">
      <c r="A80" t="str">
        <f>HYPERLINK("https://leetcode.com/problems/merge-two-sorted-lists", "21. Merge Two Sorted Lists")</f>
        <v>21. Merge Two Sorted Lists</v>
      </c>
      <c r="B80" t="s">
        <v>4</v>
      </c>
      <c r="C80" t="s">
        <v>123</v>
      </c>
      <c r="D80" t="s">
        <v>11</v>
      </c>
    </row>
    <row r="81" spans="1:4" x14ac:dyDescent="0.45">
      <c r="A81" t="str">
        <f>HYPERLINK("https://leetcode.com/problems/generate-parentheses", "22. Generate Parentheses")</f>
        <v>22. Generate Parentheses</v>
      </c>
      <c r="B81" t="s">
        <v>7</v>
      </c>
      <c r="C81" t="s">
        <v>124</v>
      </c>
      <c r="D81" t="s">
        <v>117</v>
      </c>
    </row>
    <row r="82" spans="1:4" x14ac:dyDescent="0.45">
      <c r="A82" t="str">
        <f>HYPERLINK("https://leetcode.com/problems/valid-parentheses", "20. Valid Parentheses")</f>
        <v>20. Valid Parentheses</v>
      </c>
      <c r="B82" t="s">
        <v>4</v>
      </c>
      <c r="C82" t="s">
        <v>125</v>
      </c>
      <c r="D82" t="s">
        <v>126</v>
      </c>
    </row>
    <row r="83" spans="1:4" x14ac:dyDescent="0.45">
      <c r="A83" t="str">
        <f>HYPERLINK("https://leetcode.com/problems/swap-nodes-in-pairs", "24. Swap Nodes in Pairs")</f>
        <v>24. Swap Nodes in Pairs</v>
      </c>
      <c r="B83" t="s">
        <v>7</v>
      </c>
      <c r="C83" t="s">
        <v>127</v>
      </c>
      <c r="D83" t="s">
        <v>128</v>
      </c>
    </row>
    <row r="84" spans="1:4" x14ac:dyDescent="0.45">
      <c r="A84" t="str">
        <f>HYPERLINK("https://leetcode.com/problems/reverse-nodes-in-k-group", "25. Reverse Nodes in k-Group")</f>
        <v>25. Reverse Nodes in k-Group</v>
      </c>
      <c r="B84" t="s">
        <v>12</v>
      </c>
      <c r="C84" t="s">
        <v>129</v>
      </c>
      <c r="D84" t="s">
        <v>130</v>
      </c>
    </row>
    <row r="85" spans="1:4" x14ac:dyDescent="0.45">
      <c r="A85" t="str">
        <f>HYPERLINK("https://leetcode.com/problems/remove-duplicates-from-sorted-array", "26. Remove Duplicates from Sorted Array")</f>
        <v>26. Remove Duplicates from Sorted Array</v>
      </c>
      <c r="B85" t="s">
        <v>4</v>
      </c>
      <c r="C85" t="s">
        <v>131</v>
      </c>
      <c r="D85" t="s">
        <v>11</v>
      </c>
    </row>
    <row r="86" spans="1:4" x14ac:dyDescent="0.45">
      <c r="A86" t="str">
        <f>HYPERLINK("https://leetcode.com/problems/remove-element", "27. Remove Element")</f>
        <v>27. Remove Element</v>
      </c>
      <c r="B86" t="s">
        <v>4</v>
      </c>
      <c r="C86" t="s">
        <v>132</v>
      </c>
      <c r="D86" t="s">
        <v>11</v>
      </c>
    </row>
    <row r="87" spans="1:4" x14ac:dyDescent="0.45">
      <c r="A87" t="str">
        <f>HYPERLINK("https://leetcode.com/problems/find-the-index-of-the-first-occurrence-in-a-string", "28. Find the Index of the First Occurrence in a String")</f>
        <v>28. Find the Index of the First Occurrence in a String</v>
      </c>
      <c r="B87" t="s">
        <v>4</v>
      </c>
      <c r="C87" t="s">
        <v>133</v>
      </c>
      <c r="D87" t="s">
        <v>11</v>
      </c>
    </row>
    <row r="88" spans="1:4" x14ac:dyDescent="0.45">
      <c r="A88" t="str">
        <f>HYPERLINK("https://leetcode.com/problems/divide-two-integers", "29. Divide Two Integers")</f>
        <v>29. Divide Two Integers</v>
      </c>
      <c r="B88" t="s">
        <v>7</v>
      </c>
      <c r="C88" t="s">
        <v>134</v>
      </c>
      <c r="D88" t="s">
        <v>11</v>
      </c>
    </row>
    <row r="89" spans="1:4" x14ac:dyDescent="0.45">
      <c r="A89" t="str">
        <f>HYPERLINK("https://leetcode.com/problems/next-permutation", "31. Next Permutation")</f>
        <v>31. Next Permutation</v>
      </c>
      <c r="B89" t="s">
        <v>7</v>
      </c>
      <c r="C89" t="s">
        <v>135</v>
      </c>
      <c r="D89" t="s">
        <v>136</v>
      </c>
    </row>
    <row r="90" spans="1:4" x14ac:dyDescent="0.45">
      <c r="A90" t="str">
        <f>HYPERLINK("https://leetcode.com/problems/search-in-rotated-sorted-array", "33. Search in Rotated Sorted Array")</f>
        <v>33. Search in Rotated Sorted Array</v>
      </c>
      <c r="B90" t="s">
        <v>7</v>
      </c>
      <c r="C90" t="s">
        <v>137</v>
      </c>
      <c r="D90" t="s">
        <v>126</v>
      </c>
    </row>
    <row r="91" spans="1:4" x14ac:dyDescent="0.45">
      <c r="A91" t="str">
        <f>HYPERLINK("https://leetcode.com/problems/find-first-and-last-position-of-element-in-sorted-array", "34. Find First and Last Position of Element in Sorted Array")</f>
        <v>34. Find First and Last Position of Element in Sorted Array</v>
      </c>
      <c r="B91" t="s">
        <v>7</v>
      </c>
      <c r="C91" t="s">
        <v>138</v>
      </c>
      <c r="D91" t="s">
        <v>139</v>
      </c>
    </row>
    <row r="92" spans="1:4" x14ac:dyDescent="0.45">
      <c r="A92" t="str">
        <f>HYPERLINK("https://leetcode.com/problems/search-insert-position", "35. Search Insert Position")</f>
        <v>35. Search Insert Position</v>
      </c>
      <c r="B92" t="s">
        <v>4</v>
      </c>
      <c r="C92" t="s">
        <v>140</v>
      </c>
      <c r="D92" t="s">
        <v>11</v>
      </c>
    </row>
    <row r="93" spans="1:4" x14ac:dyDescent="0.45">
      <c r="A93" t="str">
        <f>HYPERLINK("https://leetcode.com/problems/valid-sudoku", "36. Valid Sudoku")</f>
        <v>36. Valid Sudoku</v>
      </c>
      <c r="B93" t="s">
        <v>7</v>
      </c>
      <c r="C93" t="s">
        <v>141</v>
      </c>
      <c r="D93" t="s">
        <v>142</v>
      </c>
    </row>
    <row r="94" spans="1:4" x14ac:dyDescent="0.45">
      <c r="A94" t="str">
        <f>HYPERLINK("https://leetcode.com/problems/sudoku-solver", "37. Sudoku Solver")</f>
        <v>37. Sudoku Solver</v>
      </c>
      <c r="B94" t="s">
        <v>12</v>
      </c>
      <c r="C94" t="s">
        <v>143</v>
      </c>
      <c r="D94" t="s">
        <v>11</v>
      </c>
    </row>
    <row r="95" spans="1:4" x14ac:dyDescent="0.45">
      <c r="A95" t="str">
        <f>HYPERLINK("https://leetcode.com/problems/combination-sum", "39. Combination Sum")</f>
        <v>39. Combination Sum</v>
      </c>
      <c r="B95" t="s">
        <v>7</v>
      </c>
      <c r="C95" t="s">
        <v>144</v>
      </c>
      <c r="D95" t="s">
        <v>145</v>
      </c>
    </row>
    <row r="96" spans="1:4" x14ac:dyDescent="0.45">
      <c r="A96" t="str">
        <f>HYPERLINK("https://leetcode.com/problems/first-missing-positive", "41. First Missing Positive")</f>
        <v>41. First Missing Positive</v>
      </c>
      <c r="B96" t="s">
        <v>12</v>
      </c>
      <c r="C96" t="s">
        <v>146</v>
      </c>
      <c r="D96" t="s">
        <v>147</v>
      </c>
    </row>
    <row r="97" spans="1:4" x14ac:dyDescent="0.45">
      <c r="A97" t="str">
        <f>HYPERLINK("https://leetcode.com/problems/trapping-rain-water", "42. Trapping Rain Water")</f>
        <v>42. Trapping Rain Water</v>
      </c>
      <c r="B97" t="s">
        <v>12</v>
      </c>
      <c r="C97" t="s">
        <v>148</v>
      </c>
      <c r="D97" t="s">
        <v>149</v>
      </c>
    </row>
    <row r="98" spans="1:4" x14ac:dyDescent="0.45">
      <c r="A98" t="str">
        <f>HYPERLINK("https://leetcode.com/problems/wildcard-matching", "44. Wildcard Matching")</f>
        <v>44. Wildcard Matching</v>
      </c>
      <c r="B98" t="s">
        <v>12</v>
      </c>
      <c r="C98" t="s">
        <v>150</v>
      </c>
      <c r="D98" t="s">
        <v>11</v>
      </c>
    </row>
    <row r="99" spans="1:4" x14ac:dyDescent="0.45">
      <c r="A99" t="str">
        <f>HYPERLINK("https://leetcode.com/problems/jump-game-ii", "45. Jump Game II")</f>
        <v>45. Jump Game II</v>
      </c>
      <c r="B99" t="s">
        <v>7</v>
      </c>
      <c r="C99" t="s">
        <v>151</v>
      </c>
      <c r="D99" t="s">
        <v>152</v>
      </c>
    </row>
    <row r="100" spans="1:4" x14ac:dyDescent="0.45">
      <c r="A100" t="str">
        <f>HYPERLINK("https://leetcode.com/problems/permutations", "46. Permutations")</f>
        <v>46. Permutations</v>
      </c>
      <c r="B100" t="s">
        <v>7</v>
      </c>
      <c r="C100" t="s">
        <v>153</v>
      </c>
      <c r="D100" t="s">
        <v>154</v>
      </c>
    </row>
    <row r="101" spans="1:4" x14ac:dyDescent="0.45">
      <c r="A101" t="str">
        <f>HYPERLINK("https://leetcode.com/problems/group-anagrams", "49. Group Anagrams")</f>
        <v>49. Group Anagrams</v>
      </c>
      <c r="B101" t="s">
        <v>7</v>
      </c>
      <c r="C101" t="s">
        <v>155</v>
      </c>
      <c r="D101" t="s">
        <v>156</v>
      </c>
    </row>
    <row r="102" spans="1:4" x14ac:dyDescent="0.45">
      <c r="A102" t="str">
        <f>HYPERLINK("https://leetcode.com/problems/pow(x,-n)", "50. Pow(x, n)")</f>
        <v>50. Pow(x, n)</v>
      </c>
      <c r="B102" t="s">
        <v>7</v>
      </c>
      <c r="C102" t="s">
        <v>118</v>
      </c>
      <c r="D102" t="s">
        <v>157</v>
      </c>
    </row>
    <row r="103" spans="1:4" x14ac:dyDescent="0.45">
      <c r="A103" t="str">
        <f>HYPERLINK("https://leetcode.com/problems/n-queens", "51. N-Queens")</f>
        <v>51. N-Queens</v>
      </c>
      <c r="B103" t="s">
        <v>12</v>
      </c>
      <c r="C103" t="s">
        <v>158</v>
      </c>
      <c r="D103" t="s">
        <v>114</v>
      </c>
    </row>
    <row r="104" spans="1:4" x14ac:dyDescent="0.45">
      <c r="A104" t="str">
        <f>HYPERLINK("https://leetcode.com/problems/jump-game", "55. Jump Game")</f>
        <v>55. Jump Game</v>
      </c>
      <c r="B104" t="s">
        <v>7</v>
      </c>
      <c r="C104" t="s">
        <v>159</v>
      </c>
      <c r="D104" t="s">
        <v>114</v>
      </c>
    </row>
    <row r="105" spans="1:4" x14ac:dyDescent="0.45">
      <c r="A105" t="str">
        <f>HYPERLINK("https://leetcode.com/problems/merge-intervals", "56. Merge Intervals")</f>
        <v>56. Merge Intervals</v>
      </c>
      <c r="B105" t="s">
        <v>7</v>
      </c>
      <c r="C105" t="s">
        <v>160</v>
      </c>
      <c r="D105" t="s">
        <v>9</v>
      </c>
    </row>
    <row r="106" spans="1:4" x14ac:dyDescent="0.45">
      <c r="A106" t="str">
        <f>HYPERLINK("https://leetcode.com/problems/insert-interval", "57. Insert Interval")</f>
        <v>57. Insert Interval</v>
      </c>
      <c r="B106" t="s">
        <v>7</v>
      </c>
      <c r="C106" t="s">
        <v>161</v>
      </c>
      <c r="D106" t="s">
        <v>162</v>
      </c>
    </row>
    <row r="107" spans="1:4" x14ac:dyDescent="0.45">
      <c r="A107" t="str">
        <f>HYPERLINK("https://leetcode.com/problems/length-of-last-word", "58. Length of Last Word")</f>
        <v>58. Length of Last Word</v>
      </c>
      <c r="B107" t="s">
        <v>4</v>
      </c>
      <c r="C107" t="s">
        <v>163</v>
      </c>
      <c r="D107" t="s">
        <v>11</v>
      </c>
    </row>
    <row r="108" spans="1:4" x14ac:dyDescent="0.45">
      <c r="A108" t="str">
        <f>HYPERLINK("https://leetcode.com/problems/permutation-sequence", "60. Permutation Sequence")</f>
        <v>60. Permutation Sequence</v>
      </c>
      <c r="B108" t="s">
        <v>12</v>
      </c>
      <c r="C108" t="s">
        <v>164</v>
      </c>
      <c r="D108" t="s">
        <v>61</v>
      </c>
    </row>
    <row r="109" spans="1:4" x14ac:dyDescent="0.45">
      <c r="A109" t="str">
        <f>HYPERLINK("https://leetcode.com/problems/unique-paths", "62. Unique Paths")</f>
        <v>62. Unique Paths</v>
      </c>
      <c r="B109" t="s">
        <v>7</v>
      </c>
      <c r="C109" t="s">
        <v>165</v>
      </c>
      <c r="D109" t="s">
        <v>11</v>
      </c>
    </row>
    <row r="110" spans="1:4" x14ac:dyDescent="0.45">
      <c r="A110" t="str">
        <f>HYPERLINK("https://leetcode.com/problems/plus-one", "66. Plus One")</f>
        <v>66. Plus One</v>
      </c>
      <c r="B110" t="s">
        <v>4</v>
      </c>
      <c r="C110" t="s">
        <v>166</v>
      </c>
      <c r="D110" t="s">
        <v>11</v>
      </c>
    </row>
    <row r="111" spans="1:4" x14ac:dyDescent="0.45">
      <c r="A111" t="str">
        <f>HYPERLINK("https://leetcode.com/problems/add-binary", "67. Add Binary")</f>
        <v>67. Add Binary</v>
      </c>
      <c r="B111" t="s">
        <v>4</v>
      </c>
      <c r="C111" t="s">
        <v>5</v>
      </c>
      <c r="D111" t="s">
        <v>11</v>
      </c>
    </row>
    <row r="112" spans="1:4" x14ac:dyDescent="0.45">
      <c r="A112" t="str">
        <f>HYPERLINK("https://leetcode.com/problems/text-justification", "68. Text Justification")</f>
        <v>68. Text Justification</v>
      </c>
      <c r="B112" t="s">
        <v>12</v>
      </c>
      <c r="C112" t="s">
        <v>167</v>
      </c>
      <c r="D112" t="s">
        <v>168</v>
      </c>
    </row>
    <row r="113" spans="1:4" x14ac:dyDescent="0.45">
      <c r="A113" t="str">
        <f>HYPERLINK("https://leetcode.com/problems/sqrt(x)", "69. Sqrt(x)")</f>
        <v>69. Sqrt(x)</v>
      </c>
      <c r="B113" t="s">
        <v>4</v>
      </c>
      <c r="C113" t="s">
        <v>169</v>
      </c>
      <c r="D113" t="s">
        <v>170</v>
      </c>
    </row>
    <row r="114" spans="1:4" x14ac:dyDescent="0.45">
      <c r="A114" t="str">
        <f>HYPERLINK("https://leetcode.com/problems/climbing-stairs", "70. Climbing Stairs")</f>
        <v>70. Climbing Stairs</v>
      </c>
      <c r="B114" t="s">
        <v>4</v>
      </c>
      <c r="C114" t="s">
        <v>171</v>
      </c>
      <c r="D114" t="s">
        <v>11</v>
      </c>
    </row>
    <row r="115" spans="1:4" x14ac:dyDescent="0.45">
      <c r="A115" t="str">
        <f>HYPERLINK("https://leetcode.com/problems/edit-distance", "72. Edit Distance")</f>
        <v>72. Edit Distance</v>
      </c>
      <c r="B115" t="s">
        <v>7</v>
      </c>
      <c r="C115" t="s">
        <v>172</v>
      </c>
      <c r="D115" t="s">
        <v>50</v>
      </c>
    </row>
    <row r="116" spans="1:4" x14ac:dyDescent="0.45">
      <c r="A116" t="str">
        <f>HYPERLINK("https://leetcode.com/problems/set-matrix-zeroes", "73. Set Matrix Zeroes")</f>
        <v>73. Set Matrix Zeroes</v>
      </c>
      <c r="B116" t="s">
        <v>7</v>
      </c>
      <c r="C116" t="s">
        <v>173</v>
      </c>
      <c r="D116" t="s">
        <v>147</v>
      </c>
    </row>
    <row r="117" spans="1:4" x14ac:dyDescent="0.45">
      <c r="A117" t="str">
        <f>HYPERLINK("https://leetcode.com/problems/search-a-2d-matrix", "74. Search a 2D Matrix")</f>
        <v>74. Search a 2D Matrix</v>
      </c>
      <c r="B117" t="s">
        <v>7</v>
      </c>
      <c r="C117" t="s">
        <v>33</v>
      </c>
      <c r="D117" t="s">
        <v>31</v>
      </c>
    </row>
    <row r="118" spans="1:4" x14ac:dyDescent="0.45">
      <c r="A118" t="str">
        <f>HYPERLINK("https://leetcode.com/problems/sort-colors", "75. Sort Colors")</f>
        <v>75. Sort Colors</v>
      </c>
      <c r="B118" t="s">
        <v>7</v>
      </c>
      <c r="C118" t="s">
        <v>174</v>
      </c>
      <c r="D118" t="s">
        <v>11</v>
      </c>
    </row>
    <row r="119" spans="1:4" x14ac:dyDescent="0.45">
      <c r="A119" t="str">
        <f>HYPERLINK("https://leetcode.com/problems/minimum-window-substring", "76. Minimum Window Substring")</f>
        <v>76. Minimum Window Substring</v>
      </c>
      <c r="B119" t="s">
        <v>12</v>
      </c>
      <c r="C119" t="s">
        <v>175</v>
      </c>
      <c r="D119" t="s">
        <v>176</v>
      </c>
    </row>
    <row r="120" spans="1:4" x14ac:dyDescent="0.45">
      <c r="A120" t="str">
        <f>HYPERLINK("https://leetcode.com/problems/subsets", "78. Subsets")</f>
        <v>78. Subsets</v>
      </c>
      <c r="B120" t="s">
        <v>7</v>
      </c>
      <c r="C120" t="s">
        <v>177</v>
      </c>
      <c r="D120" t="s">
        <v>11</v>
      </c>
    </row>
    <row r="121" spans="1:4" x14ac:dyDescent="0.45">
      <c r="A121" t="str">
        <f>HYPERLINK("https://leetcode.com/problems/word-search", "79. Word Search")</f>
        <v>79. Word Search</v>
      </c>
      <c r="B121" t="s">
        <v>7</v>
      </c>
      <c r="C121" t="s">
        <v>175</v>
      </c>
      <c r="D121" t="s">
        <v>178</v>
      </c>
    </row>
    <row r="122" spans="1:4" x14ac:dyDescent="0.45">
      <c r="A122" t="str">
        <f>HYPERLINK("https://leetcode.com/problems/largest-rectangle-in-histogram", "84. Largest Rectangle in Histogram")</f>
        <v>84. Largest Rectangle in Histogram</v>
      </c>
      <c r="B122" t="s">
        <v>12</v>
      </c>
      <c r="C122" t="s">
        <v>179</v>
      </c>
      <c r="D122" t="s">
        <v>25</v>
      </c>
    </row>
    <row r="123" spans="1:4" x14ac:dyDescent="0.45">
      <c r="A123" t="str">
        <f>HYPERLINK("https://leetcode.com/problems/maximal-rectangle", "85. Maximal Rectangle")</f>
        <v>85. Maximal Rectangle</v>
      </c>
      <c r="B123" t="s">
        <v>12</v>
      </c>
      <c r="C123" t="s">
        <v>180</v>
      </c>
      <c r="D123" t="s">
        <v>20</v>
      </c>
    </row>
    <row r="124" spans="1:4" x14ac:dyDescent="0.45">
      <c r="A124" t="str">
        <f>HYPERLINK("https://leetcode.com/problems/partition-list", "86. Partition List")</f>
        <v>86. Partition List</v>
      </c>
      <c r="B124" t="s">
        <v>7</v>
      </c>
      <c r="C124" t="s">
        <v>181</v>
      </c>
      <c r="D124" t="s">
        <v>68</v>
      </c>
    </row>
    <row r="125" spans="1:4" x14ac:dyDescent="0.45">
      <c r="A125" t="str">
        <f>HYPERLINK("https://leetcode.com/problems/merge-sorted-array", "88. Merge Sorted Array")</f>
        <v>88. Merge Sorted Array</v>
      </c>
      <c r="B125" t="s">
        <v>4</v>
      </c>
      <c r="C125" t="s">
        <v>182</v>
      </c>
      <c r="D125" t="s">
        <v>14</v>
      </c>
    </row>
    <row r="126" spans="1:4" x14ac:dyDescent="0.45">
      <c r="A126" t="str">
        <f>HYPERLINK("https://leetcode.com/problems/reverse-linked-list-ii", "92. Reverse Linked List II")</f>
        <v>92. Reverse Linked List II</v>
      </c>
      <c r="B126" t="s">
        <v>7</v>
      </c>
      <c r="C126" t="s">
        <v>183</v>
      </c>
      <c r="D126" t="s">
        <v>68</v>
      </c>
    </row>
    <row r="127" spans="1:4" x14ac:dyDescent="0.45">
      <c r="A127" t="str">
        <f>HYPERLINK("https://leetcode.com/problems/binary-tree-inorder-traversal", "94. Binary Tree Inorder Traversal")</f>
        <v>94. Binary Tree Inorder Traversal</v>
      </c>
      <c r="B127" t="s">
        <v>4</v>
      </c>
      <c r="C127" t="s">
        <v>184</v>
      </c>
      <c r="D127" t="s">
        <v>11</v>
      </c>
    </row>
    <row r="128" spans="1:4" x14ac:dyDescent="0.45">
      <c r="A128" t="str">
        <f>HYPERLINK("https://leetcode.com/problems/symmetric-tree", "101. Symmetric Tree")</f>
        <v>101. Symmetric Tree</v>
      </c>
      <c r="B128" t="s">
        <v>4</v>
      </c>
      <c r="C128" t="s">
        <v>113</v>
      </c>
      <c r="D128" t="s">
        <v>99</v>
      </c>
    </row>
    <row r="129" spans="1:4" x14ac:dyDescent="0.45">
      <c r="A129" t="str">
        <f>HYPERLINK("https://leetcode.com/problems/same-tree", "100. Same Tree")</f>
        <v>100. Same Tree</v>
      </c>
      <c r="B129" t="s">
        <v>4</v>
      </c>
      <c r="C129" t="s">
        <v>185</v>
      </c>
      <c r="D129" t="s">
        <v>14</v>
      </c>
    </row>
    <row r="130" spans="1:4" x14ac:dyDescent="0.45">
      <c r="A130" t="str">
        <f>HYPERLINK("https://leetcode.com/problems/maximum-depth-of-binary-tree", "104. Maximum Depth of Binary Tree")</f>
        <v>104. Maximum Depth of Binary Tree</v>
      </c>
      <c r="B130" t="s">
        <v>4</v>
      </c>
      <c r="C130" t="s">
        <v>186</v>
      </c>
      <c r="D130" t="s">
        <v>50</v>
      </c>
    </row>
    <row r="131" spans="1:4" x14ac:dyDescent="0.45">
      <c r="A131" t="str">
        <f>HYPERLINK("https://leetcode.com/problems/balanced-binary-tree", "110. Balanced Binary Tree")</f>
        <v>110. Balanced Binary Tree</v>
      </c>
      <c r="B131" t="s">
        <v>4</v>
      </c>
      <c r="C131" t="s">
        <v>187</v>
      </c>
      <c r="D131" t="s">
        <v>20</v>
      </c>
    </row>
    <row r="132" spans="1:4" x14ac:dyDescent="0.45">
      <c r="A132" t="str">
        <f>HYPERLINK("https://leetcode.com/problems/flatten-binary-tree-to-linked-list", "114. Flatten Binary Tree to Linked List")</f>
        <v>114. Flatten Binary Tree to Linked List</v>
      </c>
      <c r="B132" t="s">
        <v>7</v>
      </c>
      <c r="C132" t="s">
        <v>188</v>
      </c>
      <c r="D132" t="s">
        <v>11</v>
      </c>
    </row>
    <row r="133" spans="1:4" x14ac:dyDescent="0.45">
      <c r="A133" t="str">
        <f>HYPERLINK("https://leetcode.com/problems/best-time-to-buy-and-sell-stock", "121. Best Time to Buy and Sell Stock")</f>
        <v>121. Best Time to Buy and Sell Stock</v>
      </c>
      <c r="B133" t="s">
        <v>4</v>
      </c>
      <c r="C133" t="s">
        <v>187</v>
      </c>
      <c r="D133" t="s">
        <v>189</v>
      </c>
    </row>
    <row r="134" spans="1:4" x14ac:dyDescent="0.45">
      <c r="A134" t="str">
        <f>HYPERLINK("https://leetcode.com/problems/best-time-to-buy-and-sell-stock-ii", "122. Best Time to Buy and Sell Stock II")</f>
        <v>122. Best Time to Buy and Sell Stock II</v>
      </c>
      <c r="B134" t="s">
        <v>7</v>
      </c>
      <c r="C134" t="s">
        <v>190</v>
      </c>
      <c r="D134" t="s">
        <v>31</v>
      </c>
    </row>
    <row r="135" spans="1:4" x14ac:dyDescent="0.45">
      <c r="A135" t="str">
        <f>HYPERLINK("https://leetcode.com/problems/valid-palindrome", "125. Valid Palindrome")</f>
        <v>125. Valid Palindrome</v>
      </c>
      <c r="B135" t="s">
        <v>4</v>
      </c>
      <c r="C135" t="s">
        <v>80</v>
      </c>
      <c r="D135" t="s">
        <v>52</v>
      </c>
    </row>
    <row r="136" spans="1:4" x14ac:dyDescent="0.45">
      <c r="A136" t="str">
        <f>HYPERLINK("https://leetcode.com/problems/word-ladder", "127. Word Ladder")</f>
        <v>127. Word Ladder</v>
      </c>
      <c r="B136" t="s">
        <v>12</v>
      </c>
      <c r="C136" t="s">
        <v>191</v>
      </c>
      <c r="D136" t="s">
        <v>192</v>
      </c>
    </row>
    <row r="137" spans="1:4" x14ac:dyDescent="0.45">
      <c r="A137" t="str">
        <f>HYPERLINK("https://leetcode.com/problems/palindrome-partitioning", "131. Palindrome Partitioning")</f>
        <v>131. Palindrome Partitioning</v>
      </c>
      <c r="B137" t="s">
        <v>7</v>
      </c>
      <c r="C137" t="s">
        <v>193</v>
      </c>
      <c r="D137" t="s">
        <v>11</v>
      </c>
    </row>
    <row r="138" spans="1:4" x14ac:dyDescent="0.45">
      <c r="A138" t="str">
        <f>HYPERLINK("https://leetcode.com/problems/gas-station", "134. Gas Station")</f>
        <v>134. Gas Station</v>
      </c>
      <c r="B138" t="s">
        <v>7</v>
      </c>
      <c r="C138" t="s">
        <v>194</v>
      </c>
      <c r="D138" t="s">
        <v>195</v>
      </c>
    </row>
    <row r="139" spans="1:4" x14ac:dyDescent="0.45">
      <c r="A139" t="str">
        <f>HYPERLINK("https://leetcode.com/problems/single-number", "136. Single Number")</f>
        <v>136. Single Number</v>
      </c>
      <c r="B139" t="s">
        <v>4</v>
      </c>
      <c r="C139" t="s">
        <v>196</v>
      </c>
      <c r="D139" t="s">
        <v>11</v>
      </c>
    </row>
    <row r="140" spans="1:4" x14ac:dyDescent="0.45">
      <c r="A140" t="str">
        <f>HYPERLINK("https://leetcode.com/problems/word-break", "139. Word Break")</f>
        <v>139. Word Break</v>
      </c>
      <c r="B140" t="s">
        <v>7</v>
      </c>
      <c r="C140" t="s">
        <v>197</v>
      </c>
      <c r="D140" t="s">
        <v>198</v>
      </c>
    </row>
    <row r="141" spans="1:4" x14ac:dyDescent="0.45">
      <c r="A141" t="str">
        <f>HYPERLINK("https://leetcode.com/problems/linked-list-cycle", "141. Linked List Cycle")</f>
        <v>141. Linked List Cycle</v>
      </c>
      <c r="B141" t="s">
        <v>4</v>
      </c>
      <c r="C141" t="s">
        <v>199</v>
      </c>
      <c r="D141" t="s">
        <v>16</v>
      </c>
    </row>
    <row r="142" spans="1:4" x14ac:dyDescent="0.45">
      <c r="A142" t="str">
        <f>HYPERLINK("https://leetcode.com/problems/linked-list-cycle-ii", "142. Linked List Cycle II")</f>
        <v>142. Linked List Cycle II</v>
      </c>
      <c r="B142" t="s">
        <v>7</v>
      </c>
      <c r="C142" t="s">
        <v>200</v>
      </c>
      <c r="D142" t="s">
        <v>201</v>
      </c>
    </row>
    <row r="143" spans="1:4" x14ac:dyDescent="0.45">
      <c r="A143" t="str">
        <f>HYPERLINK("https://leetcode.com/problems/reorder-list", "143. Reorder List")</f>
        <v>143. Reorder List</v>
      </c>
      <c r="B143" t="s">
        <v>7</v>
      </c>
      <c r="C143" t="s">
        <v>202</v>
      </c>
      <c r="D143" t="s">
        <v>11</v>
      </c>
    </row>
    <row r="144" spans="1:4" x14ac:dyDescent="0.45">
      <c r="A144" t="str">
        <f>HYPERLINK("https://leetcode.com/problems/lru-cache", "146. LRU Cache")</f>
        <v>146. LRU Cache</v>
      </c>
      <c r="B144" t="s">
        <v>7</v>
      </c>
      <c r="C144" t="s">
        <v>203</v>
      </c>
      <c r="D144" t="s">
        <v>204</v>
      </c>
    </row>
    <row r="145" spans="1:4" x14ac:dyDescent="0.45">
      <c r="A145" t="str">
        <f>HYPERLINK("https://leetcode.com/problems/sort-list", "148. Sort List")</f>
        <v>148. Sort List</v>
      </c>
      <c r="B145" t="s">
        <v>7</v>
      </c>
      <c r="C145" t="s">
        <v>205</v>
      </c>
      <c r="D145" t="s">
        <v>11</v>
      </c>
    </row>
    <row r="146" spans="1:4" x14ac:dyDescent="0.45">
      <c r="A146" t="str">
        <f>HYPERLINK("https://leetcode.com/problems/max-points-on-a-line", "149. Max Points on a Line")</f>
        <v>149. Max Points on a Line</v>
      </c>
      <c r="B146" t="s">
        <v>12</v>
      </c>
      <c r="C146" t="s">
        <v>206</v>
      </c>
      <c r="D146" t="s">
        <v>54</v>
      </c>
    </row>
    <row r="147" spans="1:4" x14ac:dyDescent="0.45">
      <c r="A147" t="str">
        <f>HYPERLINK("https://leetcode.com/problems/evaluate-reverse-polish-notation", "150. Evaluate Reverse Polish Notation")</f>
        <v>150. Evaluate Reverse Polish Notation</v>
      </c>
      <c r="B147" t="s">
        <v>7</v>
      </c>
      <c r="C147" t="s">
        <v>207</v>
      </c>
      <c r="D147" t="s">
        <v>208</v>
      </c>
    </row>
    <row r="148" spans="1:4" x14ac:dyDescent="0.45">
      <c r="A148" t="str">
        <f>HYPERLINK("https://leetcode.com/problems/reverse-words-in-a-string", "151. Reverse Words in a String")</f>
        <v>151. Reverse Words in a String</v>
      </c>
      <c r="B148" t="s">
        <v>7</v>
      </c>
      <c r="C148" t="s">
        <v>209</v>
      </c>
      <c r="D148" t="s">
        <v>14</v>
      </c>
    </row>
    <row r="149" spans="1:4" x14ac:dyDescent="0.45">
      <c r="A149" t="str">
        <f>HYPERLINK("https://leetcode.com/problems/maximum-product-subarray", "152. Maximum Product Subarray")</f>
        <v>152. Maximum Product Subarray</v>
      </c>
      <c r="B149" t="s">
        <v>7</v>
      </c>
      <c r="C149" t="s">
        <v>210</v>
      </c>
      <c r="D149" t="s">
        <v>211</v>
      </c>
    </row>
    <row r="150" spans="1:4" x14ac:dyDescent="0.45">
      <c r="A150" t="str">
        <f>HYPERLINK("https://leetcode.com/problems/find-minimum-in-rotated-sorted-array", "153. Find Minimum in Rotated Sorted Array")</f>
        <v>153. Find Minimum in Rotated Sorted Array</v>
      </c>
      <c r="B150" t="s">
        <v>7</v>
      </c>
      <c r="C150" t="s">
        <v>212</v>
      </c>
      <c r="D150" t="s">
        <v>16</v>
      </c>
    </row>
    <row r="151" spans="1:4" x14ac:dyDescent="0.45">
      <c r="A151" t="str">
        <f>HYPERLINK("https://leetcode.com/problems/find-peak-element", "162. Find Peak Element")</f>
        <v>162. Find Peak Element</v>
      </c>
      <c r="B151" t="s">
        <v>7</v>
      </c>
      <c r="C151" t="s">
        <v>138</v>
      </c>
      <c r="D151" t="s">
        <v>31</v>
      </c>
    </row>
    <row r="152" spans="1:4" x14ac:dyDescent="0.45">
      <c r="A152" t="str">
        <f>HYPERLINK("https://leetcode.com/problems/majority-element", "169. Majority Element")</f>
        <v>169. Majority Element</v>
      </c>
      <c r="B152" t="s">
        <v>4</v>
      </c>
      <c r="C152" t="s">
        <v>165</v>
      </c>
      <c r="D152" t="s">
        <v>11</v>
      </c>
    </row>
    <row r="153" spans="1:4" x14ac:dyDescent="0.45">
      <c r="A153" t="str">
        <f>HYPERLINK("https://leetcode.com/problems/employees-earning-more-than-their-managers", "181. Employees Earning More Than Their Managers")</f>
        <v>181. Employees Earning More Than Their Managers</v>
      </c>
      <c r="B153" t="s">
        <v>4</v>
      </c>
      <c r="C153" t="s">
        <v>213</v>
      </c>
      <c r="D153" t="s">
        <v>214</v>
      </c>
    </row>
    <row r="154" spans="1:4" x14ac:dyDescent="0.45">
      <c r="A154" t="str">
        <f>HYPERLINK("https://leetcode.com/problems/rotate-array", "189. Rotate Array")</f>
        <v>189. Rotate Array</v>
      </c>
      <c r="B154" t="s">
        <v>7</v>
      </c>
      <c r="C154" t="s">
        <v>215</v>
      </c>
      <c r="D154" t="s">
        <v>14</v>
      </c>
    </row>
    <row r="155" spans="1:4" x14ac:dyDescent="0.45">
      <c r="A155" t="str">
        <f>HYPERLINK("https://leetcode.com/problems/rising-temperature", "197. Rising Temperature")</f>
        <v>197. Rising Temperature</v>
      </c>
      <c r="B155" t="s">
        <v>4</v>
      </c>
      <c r="C155" t="s">
        <v>216</v>
      </c>
      <c r="D155" t="s">
        <v>11</v>
      </c>
    </row>
    <row r="156" spans="1:4" x14ac:dyDescent="0.45">
      <c r="A156" t="str">
        <f>HYPERLINK("https://leetcode.com/problems/binary-tree-right-side-view", "199. Binary Tree Right Side View")</f>
        <v>199. Binary Tree Right Side View</v>
      </c>
      <c r="B156" t="s">
        <v>7</v>
      </c>
      <c r="C156" t="s">
        <v>217</v>
      </c>
      <c r="D156" t="s">
        <v>218</v>
      </c>
    </row>
    <row r="157" spans="1:4" x14ac:dyDescent="0.45">
      <c r="A157" t="str">
        <f>HYPERLINK("https://leetcode.com/problems/number-of-islands", "200. Number of Islands")</f>
        <v>200. Number of Islands</v>
      </c>
      <c r="B157" t="s">
        <v>7</v>
      </c>
      <c r="C157" t="s">
        <v>141</v>
      </c>
      <c r="D157" t="s">
        <v>204</v>
      </c>
    </row>
    <row r="158" spans="1:4" x14ac:dyDescent="0.45">
      <c r="A158" t="str">
        <f>HYPERLINK("https://leetcode.com/problems/happy-number", "202. Happy Number")</f>
        <v>202. Happy Number</v>
      </c>
      <c r="B158" t="s">
        <v>4</v>
      </c>
      <c r="C158" t="s">
        <v>219</v>
      </c>
      <c r="D158" t="s">
        <v>11</v>
      </c>
    </row>
    <row r="159" spans="1:4" x14ac:dyDescent="0.45">
      <c r="A159" t="str">
        <f>HYPERLINK("https://leetcode.com/problems/course-schedule", "207. Course Schedule")</f>
        <v>207. Course Schedule</v>
      </c>
      <c r="B159" t="s">
        <v>7</v>
      </c>
      <c r="C159" t="s">
        <v>220</v>
      </c>
      <c r="D159" t="s">
        <v>52</v>
      </c>
    </row>
    <row r="160" spans="1:4" x14ac:dyDescent="0.45">
      <c r="A160" t="str">
        <f>HYPERLINK("https://leetcode.com/problems/implement-trie-(prefix-tree)", "208. Implement Trie (Prefix Tree)")</f>
        <v>208. Implement Trie (Prefix Tree)</v>
      </c>
      <c r="B160" t="s">
        <v>7</v>
      </c>
      <c r="C160" t="s">
        <v>221</v>
      </c>
      <c r="D160" t="s">
        <v>222</v>
      </c>
    </row>
    <row r="161" spans="1:4" x14ac:dyDescent="0.45">
      <c r="A161" t="str">
        <f>HYPERLINK("https://leetcode.com/problems/minimum-size-subarray-sum", "209. Minimum Size Subarray Sum")</f>
        <v>209. Minimum Size Subarray Sum</v>
      </c>
      <c r="B161" t="s">
        <v>7</v>
      </c>
      <c r="C161" t="s">
        <v>43</v>
      </c>
      <c r="D161" t="s">
        <v>114</v>
      </c>
    </row>
    <row r="162" spans="1:4" x14ac:dyDescent="0.45">
      <c r="A162" t="str">
        <f>HYPERLINK("https://leetcode.com/problems/course-schedule-ii", "210. Course Schedule II")</f>
        <v>210. Course Schedule II</v>
      </c>
      <c r="B162" t="s">
        <v>7</v>
      </c>
      <c r="C162" t="s">
        <v>223</v>
      </c>
      <c r="D162" t="s">
        <v>224</v>
      </c>
    </row>
    <row r="163" spans="1:4" x14ac:dyDescent="0.45">
      <c r="A163" t="str">
        <f>HYPERLINK("https://leetcode.com/problems/house-robber-ii", "213. House Robber II")</f>
        <v>213. House Robber II</v>
      </c>
      <c r="B163" t="s">
        <v>7</v>
      </c>
      <c r="C163" t="s">
        <v>35</v>
      </c>
      <c r="D163" t="s">
        <v>54</v>
      </c>
    </row>
    <row r="164" spans="1:4" x14ac:dyDescent="0.45">
      <c r="A164" t="str">
        <f>HYPERLINK("https://leetcode.com/problems/kth-largest-element-in-an-array", "215. Kth Largest Element in an Array")</f>
        <v>215. Kth Largest Element in an Array</v>
      </c>
      <c r="B164" t="s">
        <v>7</v>
      </c>
      <c r="C164" t="s">
        <v>225</v>
      </c>
      <c r="D164" t="s">
        <v>6</v>
      </c>
    </row>
    <row r="165" spans="1:4" x14ac:dyDescent="0.45">
      <c r="A165" t="str">
        <f>HYPERLINK("https://leetcode.com/problems/contains-duplicate", "217. Contains Duplicate")</f>
        <v>217. Contains Duplicate</v>
      </c>
      <c r="B165" t="s">
        <v>4</v>
      </c>
      <c r="C165" t="s">
        <v>226</v>
      </c>
      <c r="D165" t="s">
        <v>20</v>
      </c>
    </row>
    <row r="166" spans="1:4" x14ac:dyDescent="0.45">
      <c r="A166" t="str">
        <f>HYPERLINK("https://leetcode.com/problems/contains-duplicate-ii", "219. Contains Duplicate II")</f>
        <v>219. Contains Duplicate II</v>
      </c>
      <c r="B166" t="s">
        <v>4</v>
      </c>
      <c r="C166" t="s">
        <v>227</v>
      </c>
      <c r="D166" t="s">
        <v>11</v>
      </c>
    </row>
    <row r="167" spans="1:4" x14ac:dyDescent="0.45">
      <c r="A167" t="str">
        <f>HYPERLINK("https://leetcode.com/problems/maximal-square", "221. Maximal Square")</f>
        <v>221. Maximal Square</v>
      </c>
      <c r="B167" t="s">
        <v>7</v>
      </c>
      <c r="C167" t="s">
        <v>122</v>
      </c>
      <c r="D167" t="s">
        <v>228</v>
      </c>
    </row>
    <row r="168" spans="1:4" x14ac:dyDescent="0.45">
      <c r="A168" t="str">
        <f>HYPERLINK("https://leetcode.com/problems/basic-calculator", "224. Basic Calculator")</f>
        <v>224. Basic Calculator</v>
      </c>
      <c r="B168" t="s">
        <v>12</v>
      </c>
      <c r="C168" t="s">
        <v>229</v>
      </c>
      <c r="D168" t="s">
        <v>25</v>
      </c>
    </row>
    <row r="169" spans="1:4" x14ac:dyDescent="0.45">
      <c r="A169" t="str">
        <f>HYPERLINK("https://leetcode.com/problems/invert-binary-tree", "226. Invert Binary Tree")</f>
        <v>226. Invert Binary Tree</v>
      </c>
      <c r="B169" t="s">
        <v>4</v>
      </c>
      <c r="C169" t="s">
        <v>230</v>
      </c>
      <c r="D169" t="s">
        <v>231</v>
      </c>
    </row>
    <row r="170" spans="1:4" x14ac:dyDescent="0.45">
      <c r="A170" t="str">
        <f>HYPERLINK("https://leetcode.com/problems/kth-smallest-element-in-a-bst", "230. Kth Smallest Element in a BST")</f>
        <v>230. Kth Smallest Element in a BST</v>
      </c>
      <c r="B170" t="s">
        <v>7</v>
      </c>
      <c r="C170" t="s">
        <v>232</v>
      </c>
      <c r="D170" t="s">
        <v>218</v>
      </c>
    </row>
    <row r="171" spans="1:4" x14ac:dyDescent="0.45">
      <c r="A171" t="str">
        <f>HYPERLINK("https://leetcode.com/problems/power-of-two", "231. Power of Two")</f>
        <v>231. Power of Two</v>
      </c>
      <c r="B171" t="s">
        <v>4</v>
      </c>
      <c r="C171" t="s">
        <v>88</v>
      </c>
      <c r="D171" t="s">
        <v>54</v>
      </c>
    </row>
    <row r="172" spans="1:4" x14ac:dyDescent="0.45">
      <c r="A172" t="str">
        <f>HYPERLINK("https://leetcode.com/problems/number-of-digit-one", "233. Number of Digit One")</f>
        <v>233. Number of Digit One</v>
      </c>
      <c r="B172" t="s">
        <v>12</v>
      </c>
      <c r="C172" t="s">
        <v>233</v>
      </c>
      <c r="D172" t="s">
        <v>234</v>
      </c>
    </row>
    <row r="173" spans="1:4" x14ac:dyDescent="0.45">
      <c r="A173" t="str">
        <f>HYPERLINK("https://leetcode.com/problems/product-of-array-except-self", "238. Product of Array Except Self")</f>
        <v>238. Product of Array Except Self</v>
      </c>
      <c r="B173" t="s">
        <v>7</v>
      </c>
      <c r="C173" t="s">
        <v>235</v>
      </c>
      <c r="D173" t="s">
        <v>236</v>
      </c>
    </row>
    <row r="174" spans="1:4" x14ac:dyDescent="0.45">
      <c r="A174" t="str">
        <f>HYPERLINK("https://leetcode.com/problems/sliding-window-maximum", "239. Sliding Window Maximum")</f>
        <v>239. Sliding Window Maximum</v>
      </c>
      <c r="B174" t="s">
        <v>12</v>
      </c>
      <c r="C174" t="s">
        <v>237</v>
      </c>
      <c r="D174" t="s">
        <v>16</v>
      </c>
    </row>
    <row r="175" spans="1:4" x14ac:dyDescent="0.45">
      <c r="A175" t="str">
        <f>HYPERLINK("https://leetcode.com/problems/meeting-rooms-ii", "253. Meeting Rooms II")</f>
        <v>253. Meeting Rooms II</v>
      </c>
      <c r="B175" t="s">
        <v>7</v>
      </c>
      <c r="C175" t="s">
        <v>33</v>
      </c>
      <c r="D175" t="s">
        <v>195</v>
      </c>
    </row>
    <row r="176" spans="1:4" x14ac:dyDescent="0.45">
      <c r="A176" t="str">
        <f>HYPERLINK("https://leetcode.com/problems/add-digits", "258. Add Digits")</f>
        <v>258. Add Digits</v>
      </c>
      <c r="B176" t="s">
        <v>4</v>
      </c>
      <c r="C176" t="s">
        <v>221</v>
      </c>
      <c r="D176" t="s">
        <v>74</v>
      </c>
    </row>
    <row r="177" spans="1:4" x14ac:dyDescent="0.45">
      <c r="A177" t="str">
        <f>HYPERLINK("https://leetcode.com/problems/alien-dictionary", "269. Alien Dictionary")</f>
        <v>269. Alien Dictionary</v>
      </c>
      <c r="B177" t="s">
        <v>12</v>
      </c>
      <c r="C177" t="s">
        <v>238</v>
      </c>
      <c r="D177" t="s">
        <v>239</v>
      </c>
    </row>
    <row r="178" spans="1:4" x14ac:dyDescent="0.45">
      <c r="A178" t="str">
        <f>HYPERLINK("https://leetcode.com/problems/encode-and-decode-strings", "271. Encode and Decode Strings")</f>
        <v>271. Encode and Decode Strings</v>
      </c>
      <c r="B178" t="s">
        <v>7</v>
      </c>
      <c r="C178" t="s">
        <v>103</v>
      </c>
      <c r="D178" t="s">
        <v>54</v>
      </c>
    </row>
    <row r="179" spans="1:4" x14ac:dyDescent="0.45">
      <c r="A179" t="str">
        <f>HYPERLINK("https://leetcode.com/problems/h-index", "274. H-Index")</f>
        <v>274. H-Index</v>
      </c>
      <c r="B179" t="s">
        <v>7</v>
      </c>
      <c r="C179" t="s">
        <v>240</v>
      </c>
      <c r="D179" t="s">
        <v>241</v>
      </c>
    </row>
    <row r="180" spans="1:4" x14ac:dyDescent="0.45">
      <c r="A180" t="str">
        <f>HYPERLINK("https://leetcode.com/problems/perfect-squares", "279. Perfect Squares")</f>
        <v>279. Perfect Squares</v>
      </c>
      <c r="B180" t="s">
        <v>7</v>
      </c>
      <c r="C180" t="s">
        <v>242</v>
      </c>
      <c r="D180" t="s">
        <v>214</v>
      </c>
    </row>
    <row r="181" spans="1:4" x14ac:dyDescent="0.45">
      <c r="A181" t="str">
        <f>HYPERLINK("https://leetcode.com/problems/expression-add-operators", "282. Expression Add Operators")</f>
        <v>282. Expression Add Operators</v>
      </c>
      <c r="B181" t="s">
        <v>12</v>
      </c>
      <c r="C181" t="s">
        <v>151</v>
      </c>
      <c r="D181" t="s">
        <v>104</v>
      </c>
    </row>
    <row r="182" spans="1:4" x14ac:dyDescent="0.45">
      <c r="A182" t="str">
        <f>HYPERLINK("https://leetcode.com/problems/move-zeroes", "283. Move Zeroes")</f>
        <v>283. Move Zeroes</v>
      </c>
      <c r="B182" t="s">
        <v>4</v>
      </c>
      <c r="C182" t="s">
        <v>243</v>
      </c>
      <c r="D182" t="s">
        <v>82</v>
      </c>
    </row>
    <row r="183" spans="1:4" x14ac:dyDescent="0.45">
      <c r="A183" t="str">
        <f>HYPERLINK("https://leetcode.com/problems/find-median-from-data-stream", "295. Find Median from Data Stream")</f>
        <v>295. Find Median from Data Stream</v>
      </c>
      <c r="B183" t="s">
        <v>12</v>
      </c>
      <c r="C183" t="s">
        <v>244</v>
      </c>
      <c r="D183" t="s">
        <v>245</v>
      </c>
    </row>
    <row r="184" spans="1:4" x14ac:dyDescent="0.45">
      <c r="A184" t="str">
        <f>HYPERLINK("https://leetcode.com/problems/range-sum-query---immutable", "303. Range Sum Query - Immutable")</f>
        <v>303. Range Sum Query - Immutable</v>
      </c>
      <c r="B184" t="s">
        <v>4</v>
      </c>
      <c r="C184" t="s">
        <v>225</v>
      </c>
      <c r="D184" t="s">
        <v>20</v>
      </c>
    </row>
    <row r="185" spans="1:4" x14ac:dyDescent="0.45">
      <c r="A185" t="str">
        <f>HYPERLINK("https://leetcode.com/problems/coin-change", "322. Coin Change")</f>
        <v>322. Coin Change</v>
      </c>
      <c r="B185" t="s">
        <v>7</v>
      </c>
      <c r="C185" t="s">
        <v>194</v>
      </c>
      <c r="D185" t="s">
        <v>246</v>
      </c>
    </row>
    <row r="186" spans="1:4" x14ac:dyDescent="0.45">
      <c r="A186" t="str">
        <f>HYPERLINK("https://leetcode.com/problems/minimum-obstacle-removal-to-reach-corner", "2290. Minimum Obstacle Removal to Reach Corner")</f>
        <v>2290. Minimum Obstacle Removal to Reach Corner</v>
      </c>
      <c r="B186" t="s">
        <v>12</v>
      </c>
      <c r="C186" t="s">
        <v>247</v>
      </c>
      <c r="D186" t="s">
        <v>61</v>
      </c>
    </row>
    <row r="187" spans="1:4" x14ac:dyDescent="0.45">
      <c r="A187" t="str">
        <f>HYPERLINK("https://leetcode.com/problems/longest-increasing-path-in-a-matrix", "329. Longest Increasing Path in a Matrix")</f>
        <v>329. Longest Increasing Path in a Matrix</v>
      </c>
      <c r="B187" t="s">
        <v>12</v>
      </c>
      <c r="C187" t="s">
        <v>248</v>
      </c>
      <c r="D187" t="s">
        <v>68</v>
      </c>
    </row>
    <row r="188" spans="1:4" x14ac:dyDescent="0.45">
      <c r="A188" t="str">
        <f>HYPERLINK("https://leetcode.com/problems/add-two-integers", "2235. Add Two Integers")</f>
        <v>2235. Add Two Integers</v>
      </c>
      <c r="B188" t="s">
        <v>4</v>
      </c>
      <c r="C188" t="s">
        <v>249</v>
      </c>
      <c r="D188" t="s">
        <v>11</v>
      </c>
    </row>
    <row r="189" spans="1:4" x14ac:dyDescent="0.45">
      <c r="A189" t="str">
        <f>HYPERLINK("https://leetcode.com/problems/house-robber-iii", "337. House Robber III")</f>
        <v>337. House Robber III</v>
      </c>
      <c r="B189" t="s">
        <v>7</v>
      </c>
      <c r="C189" t="s">
        <v>250</v>
      </c>
      <c r="D189" t="s">
        <v>91</v>
      </c>
    </row>
    <row r="190" spans="1:4" x14ac:dyDescent="0.45">
      <c r="A190" t="str">
        <f>HYPERLINK("https://leetcode.com/problems/reverse-vowels-of-a-string", "345. Reverse Vowels of a String")</f>
        <v>345. Reverse Vowels of a String</v>
      </c>
      <c r="B190" t="s">
        <v>4</v>
      </c>
      <c r="C190" t="s">
        <v>251</v>
      </c>
      <c r="D190" t="s">
        <v>201</v>
      </c>
    </row>
    <row r="191" spans="1:4" x14ac:dyDescent="0.45">
      <c r="A191" t="str">
        <f>HYPERLINK("https://leetcode.com/problems/top-k-frequent-elements", "347. Top K Frequent Elements")</f>
        <v>347. Top K Frequent Elements</v>
      </c>
      <c r="B191" t="s">
        <v>7</v>
      </c>
      <c r="C191" t="s">
        <v>252</v>
      </c>
      <c r="D191" t="s">
        <v>156</v>
      </c>
    </row>
    <row r="192" spans="1:4" x14ac:dyDescent="0.45">
      <c r="A192" t="str">
        <f>HYPERLINK("https://leetcode.com/problems/russian-doll-envelopes", "354. Russian Doll Envelopes")</f>
        <v>354. Russian Doll Envelopes</v>
      </c>
      <c r="B192" t="s">
        <v>12</v>
      </c>
      <c r="C192" t="s">
        <v>253</v>
      </c>
      <c r="D192" t="s">
        <v>254</v>
      </c>
    </row>
    <row r="193" spans="1:4" x14ac:dyDescent="0.45">
      <c r="A193" t="str">
        <f>HYPERLINK("https://leetcode.com/problems/logger-rate-limiter", "359. Logger Rate Limiter")</f>
        <v>359. Logger Rate Limiter</v>
      </c>
      <c r="B193" t="s">
        <v>4</v>
      </c>
      <c r="C193" t="s">
        <v>255</v>
      </c>
      <c r="D193" t="s">
        <v>256</v>
      </c>
    </row>
    <row r="194" spans="1:4" x14ac:dyDescent="0.45">
      <c r="A194" t="str">
        <f>HYPERLINK("https://leetcode.com/problems/water-and-jug-problem", "365. Water and Jug Problem")</f>
        <v>365. Water and Jug Problem</v>
      </c>
      <c r="B194" t="s">
        <v>7</v>
      </c>
      <c r="C194" t="s">
        <v>215</v>
      </c>
      <c r="D194" t="s">
        <v>46</v>
      </c>
    </row>
    <row r="195" spans="1:4" x14ac:dyDescent="0.45">
      <c r="A195" t="str">
        <f>HYPERLINK("https://leetcode.com/problems/evaluate-boolean-binary-tree", "2331. Evaluate Boolean Binary Tree")</f>
        <v>2331. Evaluate Boolean Binary Tree</v>
      </c>
      <c r="B195" t="s">
        <v>4</v>
      </c>
      <c r="C195" t="s">
        <v>257</v>
      </c>
      <c r="D195" t="s">
        <v>44</v>
      </c>
    </row>
    <row r="196" spans="1:4" x14ac:dyDescent="0.45">
      <c r="A196" t="str">
        <f>HYPERLINK("https://leetcode.com/problems/insert-delete-getrandom-o(1)", "380. Insert Delete GetRandom O(1)")</f>
        <v>380. Insert Delete GetRandom O(1)</v>
      </c>
      <c r="B196" t="s">
        <v>7</v>
      </c>
      <c r="C196" t="s">
        <v>258</v>
      </c>
      <c r="D196" t="s">
        <v>139</v>
      </c>
    </row>
    <row r="197" spans="1:4" x14ac:dyDescent="0.45">
      <c r="A197" t="str">
        <f>HYPERLINK("https://leetcode.com/problems/ransom-note", "383. Ransom Note")</f>
        <v>383. Ransom Note</v>
      </c>
      <c r="B197" t="s">
        <v>4</v>
      </c>
      <c r="C197" t="s">
        <v>259</v>
      </c>
      <c r="D197" t="s">
        <v>11</v>
      </c>
    </row>
    <row r="198" spans="1:4" x14ac:dyDescent="0.45">
      <c r="A198" t="str">
        <f>HYPERLINK("https://leetcode.com/problems/remove-k-digits", "402. Remove K Digits")</f>
        <v>402. Remove K Digits</v>
      </c>
      <c r="B198" t="s">
        <v>7</v>
      </c>
      <c r="C198" t="s">
        <v>260</v>
      </c>
      <c r="D198" t="s">
        <v>11</v>
      </c>
    </row>
    <row r="199" spans="1:4" x14ac:dyDescent="0.45">
      <c r="A199" t="str">
        <f>HYPERLINK("https://leetcode.com/problems/longest-palindrome", "409. Longest Palindrome")</f>
        <v>409. Longest Palindrome</v>
      </c>
      <c r="B199" t="s">
        <v>4</v>
      </c>
      <c r="C199" t="s">
        <v>242</v>
      </c>
      <c r="D199" t="s">
        <v>44</v>
      </c>
    </row>
    <row r="200" spans="1:4" x14ac:dyDescent="0.45">
      <c r="A200" t="str">
        <f>HYPERLINK("https://leetcode.com/problems/split-array-largest-sum", "410. Split Array Largest Sum")</f>
        <v>410. Split Array Largest Sum</v>
      </c>
      <c r="B200" t="s">
        <v>12</v>
      </c>
      <c r="C200" t="s">
        <v>261</v>
      </c>
      <c r="D200" t="s">
        <v>11</v>
      </c>
    </row>
    <row r="201" spans="1:4" x14ac:dyDescent="0.45">
      <c r="A201" t="str">
        <f>HYPERLINK("https://leetcode.com/problems/partition-equal-subset-sum", "416. Partition Equal Subset Sum")</f>
        <v>416. Partition Equal Subset Sum</v>
      </c>
      <c r="B201" t="s">
        <v>7</v>
      </c>
      <c r="C201" t="s">
        <v>262</v>
      </c>
      <c r="D201" t="s">
        <v>11</v>
      </c>
    </row>
    <row r="202" spans="1:4" x14ac:dyDescent="0.45">
      <c r="A202" t="str">
        <f>HYPERLINK("https://leetcode.com/problems/longest-repeating-character-replacement", "424. Longest Repeating Character Replacement")</f>
        <v>424. Longest Repeating Character Replacement</v>
      </c>
      <c r="B202" t="s">
        <v>7</v>
      </c>
      <c r="C202" t="s">
        <v>263</v>
      </c>
      <c r="D202" t="s">
        <v>264</v>
      </c>
    </row>
    <row r="203" spans="1:4" x14ac:dyDescent="0.45">
      <c r="A203" t="str">
        <f>HYPERLINK("https://leetcode.com/problems/find-all-anagrams-in-a-string", "438. Find All Anagrams in a String")</f>
        <v>438. Find All Anagrams in a String</v>
      </c>
      <c r="B203" t="s">
        <v>7</v>
      </c>
      <c r="C203" t="s">
        <v>33</v>
      </c>
      <c r="D203" t="s">
        <v>128</v>
      </c>
    </row>
    <row r="204" spans="1:4" x14ac:dyDescent="0.45">
      <c r="A204" t="str">
        <f>HYPERLINK("https://leetcode.com/problems/string-compression", "443. String Compression")</f>
        <v>443. String Compression</v>
      </c>
      <c r="B204" t="s">
        <v>7</v>
      </c>
      <c r="C204" t="s">
        <v>261</v>
      </c>
      <c r="D204" t="s">
        <v>72</v>
      </c>
    </row>
    <row r="205" spans="1:4" x14ac:dyDescent="0.45">
      <c r="A205" t="str">
        <f>HYPERLINK("https://leetcode.com/problems/sort-characters-by-frequency", "451. Sort Characters By Frequency")</f>
        <v>451. Sort Characters By Frequency</v>
      </c>
      <c r="B205" t="s">
        <v>7</v>
      </c>
      <c r="C205" t="s">
        <v>265</v>
      </c>
      <c r="D205" t="s">
        <v>11</v>
      </c>
    </row>
    <row r="206" spans="1:4" x14ac:dyDescent="0.45">
      <c r="A206" t="str">
        <f>HYPERLINK("https://leetcode.com/problems/repeated-substring-pattern", "459. Repeated Substring Pattern")</f>
        <v>459. Repeated Substring Pattern</v>
      </c>
      <c r="B206" t="s">
        <v>4</v>
      </c>
      <c r="C206" t="s">
        <v>19</v>
      </c>
      <c r="D206" t="s">
        <v>234</v>
      </c>
    </row>
    <row r="207" spans="1:4" x14ac:dyDescent="0.45">
      <c r="A207" t="str">
        <f>HYPERLINK("https://leetcode.com/problems/longest-increasing-subsequence-ii", "2407. Longest Increasing Subsequence II")</f>
        <v>2407. Longest Increasing Subsequence II</v>
      </c>
      <c r="B207" t="s">
        <v>12</v>
      </c>
      <c r="C207" t="s">
        <v>266</v>
      </c>
      <c r="D207" t="s">
        <v>44</v>
      </c>
    </row>
    <row r="208" spans="1:4" x14ac:dyDescent="0.45">
      <c r="A208" t="str">
        <f>HYPERLINK("https://leetcode.com/problems/max-consecutive-ones", "485. Max Consecutive Ones")</f>
        <v>485. Max Consecutive Ones</v>
      </c>
      <c r="B208" t="s">
        <v>4</v>
      </c>
      <c r="C208" t="s">
        <v>202</v>
      </c>
      <c r="D208" t="s">
        <v>11</v>
      </c>
    </row>
    <row r="209" spans="1:4" x14ac:dyDescent="0.45">
      <c r="A209" t="str">
        <f>HYPERLINK("https://leetcode.com/problems/reverse-pairs", "493. Reverse Pairs")</f>
        <v>493. Reverse Pairs</v>
      </c>
      <c r="B209" t="s">
        <v>12</v>
      </c>
      <c r="C209" t="s">
        <v>267</v>
      </c>
      <c r="D209" t="s">
        <v>128</v>
      </c>
    </row>
    <row r="210" spans="1:4" x14ac:dyDescent="0.45">
      <c r="A210" t="str">
        <f>HYPERLINK("https://leetcode.com/problems/relative-ranks", "506. Relative Ranks")</f>
        <v>506. Relative Ranks</v>
      </c>
      <c r="B210" t="s">
        <v>4</v>
      </c>
      <c r="C210" t="s">
        <v>268</v>
      </c>
      <c r="D210" t="s">
        <v>44</v>
      </c>
    </row>
    <row r="211" spans="1:4" x14ac:dyDescent="0.45">
      <c r="A211" t="str">
        <f>HYPERLINK("https://leetcode.com/problems/coin-change-ii", "518. Coin Change II")</f>
        <v>518. Coin Change II</v>
      </c>
      <c r="B211" t="s">
        <v>7</v>
      </c>
      <c r="C211" t="s">
        <v>73</v>
      </c>
      <c r="D211" t="s">
        <v>91</v>
      </c>
    </row>
    <row r="212" spans="1:4" x14ac:dyDescent="0.45">
      <c r="A212" t="str">
        <f>HYPERLINK("https://leetcode.com/problems/continuous-subarray-sum", "523. Continuous Subarray Sum")</f>
        <v>523. Continuous Subarray Sum</v>
      </c>
      <c r="B212" t="s">
        <v>7</v>
      </c>
      <c r="C212" t="s">
        <v>269</v>
      </c>
      <c r="D212" t="s">
        <v>68</v>
      </c>
    </row>
    <row r="213" spans="1:4" x14ac:dyDescent="0.45">
      <c r="A213" t="str">
        <f>HYPERLINK("https://leetcode.com/problems/contiguous-array", "525. Contiguous Array")</f>
        <v>525. Contiguous Array</v>
      </c>
      <c r="B213" t="s">
        <v>7</v>
      </c>
      <c r="C213" t="s">
        <v>43</v>
      </c>
      <c r="D213" t="s">
        <v>11</v>
      </c>
    </row>
    <row r="214" spans="1:4" x14ac:dyDescent="0.45">
      <c r="A214" t="str">
        <f>HYPERLINK("https://leetcode.com/problems/single-element-in-a-sorted-array", "540. Single Element in a Sorted Array")</f>
        <v>540. Single Element in a Sorted Array</v>
      </c>
      <c r="B214" t="s">
        <v>7</v>
      </c>
      <c r="C214" t="s">
        <v>270</v>
      </c>
      <c r="D214" t="s">
        <v>11</v>
      </c>
    </row>
    <row r="215" spans="1:4" x14ac:dyDescent="0.45">
      <c r="A215" t="str">
        <f>HYPERLINK("https://leetcode.com/problems/01-matrix", "542. 01 Matrix")</f>
        <v>542. 01 Matrix</v>
      </c>
      <c r="B215" t="s">
        <v>7</v>
      </c>
      <c r="C215" t="s">
        <v>271</v>
      </c>
      <c r="D215" t="s">
        <v>87</v>
      </c>
    </row>
    <row r="216" spans="1:4" x14ac:dyDescent="0.45">
      <c r="A216" t="str">
        <f>HYPERLINK("https://leetcode.com/problems/diameter-of-binary-tree", "543. Diameter of Binary Tree")</f>
        <v>543. Diameter of Binary Tree</v>
      </c>
      <c r="B216" t="s">
        <v>4</v>
      </c>
      <c r="C216" t="s">
        <v>272</v>
      </c>
      <c r="D216" t="s">
        <v>273</v>
      </c>
    </row>
    <row r="217" spans="1:4" x14ac:dyDescent="0.45">
      <c r="A217" t="str">
        <f>HYPERLINK("https://leetcode.com/problems/number-of-provinces", "547. Number of Provinces")</f>
        <v>547. Number of Provinces</v>
      </c>
      <c r="B217" t="s">
        <v>7</v>
      </c>
      <c r="C217" t="s">
        <v>84</v>
      </c>
      <c r="D217" t="s">
        <v>74</v>
      </c>
    </row>
    <row r="218" spans="1:4" x14ac:dyDescent="0.45">
      <c r="A218" t="str">
        <f>HYPERLINK("https://leetcode.com/problems/permutation-in-string", "567. Permutation in String")</f>
        <v>567. Permutation in String</v>
      </c>
      <c r="B218" t="s">
        <v>7</v>
      </c>
      <c r="C218" t="s">
        <v>274</v>
      </c>
      <c r="D218" t="s">
        <v>54</v>
      </c>
    </row>
    <row r="219" spans="1:4" x14ac:dyDescent="0.45">
      <c r="A219" t="str">
        <f>HYPERLINK("https://leetcode.com/problems/managers-with-at-least-5-direct-reports", "570. Managers with at Least 5 Direct Reports")</f>
        <v>570. Managers with at Least 5 Direct Reports</v>
      </c>
      <c r="B219" t="s">
        <v>7</v>
      </c>
      <c r="C219" t="s">
        <v>43</v>
      </c>
      <c r="D219" t="s">
        <v>91</v>
      </c>
    </row>
    <row r="220" spans="1:4" x14ac:dyDescent="0.45">
      <c r="A220" t="str">
        <f>HYPERLINK("https://leetcode.com/problems/find-customer-referee", "584. Find Customer Referee")</f>
        <v>584. Find Customer Referee</v>
      </c>
      <c r="B220" t="s">
        <v>4</v>
      </c>
      <c r="C220" t="s">
        <v>193</v>
      </c>
      <c r="D220" t="s">
        <v>11</v>
      </c>
    </row>
    <row r="221" spans="1:4" x14ac:dyDescent="0.45">
      <c r="A221" t="str">
        <f>HYPERLINK("https://leetcode.com/problems/maximum-subsequence-score", "2542. Maximum Subsequence Score")</f>
        <v>2542. Maximum Subsequence Score</v>
      </c>
      <c r="B221" t="s">
        <v>7</v>
      </c>
      <c r="C221" t="s">
        <v>275</v>
      </c>
      <c r="D221" t="s">
        <v>61</v>
      </c>
    </row>
    <row r="222" spans="1:4" x14ac:dyDescent="0.45">
      <c r="A222" t="str">
        <f>HYPERLINK("https://leetcode.com/problems/can-place-flowers", "605. Can Place Flowers")</f>
        <v>605. Can Place Flowers</v>
      </c>
      <c r="B222" t="s">
        <v>4</v>
      </c>
      <c r="C222" t="s">
        <v>276</v>
      </c>
      <c r="D222" t="s">
        <v>277</v>
      </c>
    </row>
    <row r="223" spans="1:4" x14ac:dyDescent="0.45">
      <c r="A223" t="str">
        <f>HYPERLINK("https://leetcode.com/problems/task-scheduler", "621. Task Scheduler")</f>
        <v>621. Task Scheduler</v>
      </c>
      <c r="B223" t="s">
        <v>7</v>
      </c>
      <c r="C223" t="s">
        <v>278</v>
      </c>
      <c r="D223" t="s">
        <v>208</v>
      </c>
    </row>
    <row r="224" spans="1:4" x14ac:dyDescent="0.45">
      <c r="A224" t="str">
        <f>HYPERLINK("https://leetcode.com/problems/design-search-autocomplete-system", "642. Design Search Autocomplete System")</f>
        <v>642. Design Search Autocomplete System</v>
      </c>
      <c r="B224" t="s">
        <v>12</v>
      </c>
      <c r="C224" t="s">
        <v>183</v>
      </c>
      <c r="D224" t="s">
        <v>128</v>
      </c>
    </row>
    <row r="225" spans="1:4" x14ac:dyDescent="0.45">
      <c r="A225" t="str">
        <f>HYPERLINK("https://leetcode.com/problems/maximum-average-subarray-i", "643. Maximum Average Subarray I")</f>
        <v>643. Maximum Average Subarray I</v>
      </c>
      <c r="B225" t="s">
        <v>4</v>
      </c>
      <c r="C225" t="s">
        <v>279</v>
      </c>
      <c r="D225" t="s">
        <v>11</v>
      </c>
    </row>
    <row r="226" spans="1:4" x14ac:dyDescent="0.45">
      <c r="A226" t="str">
        <f>HYPERLINK("https://leetcode.com/problems/find-duplicate-subtrees", "652. Find Duplicate Subtrees")</f>
        <v>652. Find Duplicate Subtrees</v>
      </c>
      <c r="B226" t="s">
        <v>7</v>
      </c>
      <c r="C226" t="s">
        <v>280</v>
      </c>
      <c r="D226" t="s">
        <v>61</v>
      </c>
    </row>
    <row r="227" spans="1:4" x14ac:dyDescent="0.45">
      <c r="A227" t="str">
        <f>HYPERLINK("https://leetcode.com/problems/find-k-closest-elements", "658. Find K Closest Elements")</f>
        <v>658. Find K Closest Elements</v>
      </c>
      <c r="B227" t="s">
        <v>7</v>
      </c>
      <c r="C227" t="s">
        <v>227</v>
      </c>
      <c r="D227" t="s">
        <v>281</v>
      </c>
    </row>
    <row r="228" spans="1:4" x14ac:dyDescent="0.45">
      <c r="A228" t="str">
        <f>HYPERLINK("https://leetcode.com/problems/24-game", "679. 24 Game")</f>
        <v>679. 24 Game</v>
      </c>
      <c r="B228" t="s">
        <v>12</v>
      </c>
      <c r="C228" t="s">
        <v>282</v>
      </c>
      <c r="D228" t="s">
        <v>79</v>
      </c>
    </row>
    <row r="229" spans="1:4" x14ac:dyDescent="0.45">
      <c r="A229" t="str">
        <f>HYPERLINK("https://leetcode.com/problems/next-closest-time", "681. Next Closest Time")</f>
        <v>681. Next Closest Time</v>
      </c>
      <c r="B229" t="s">
        <v>7</v>
      </c>
      <c r="C229" t="s">
        <v>179</v>
      </c>
      <c r="D229" t="s">
        <v>44</v>
      </c>
    </row>
    <row r="230" spans="1:4" x14ac:dyDescent="0.45">
      <c r="A230" t="str">
        <f>HYPERLINK("https://leetcode.com/problems/redundant-connection", "684. Redundant Connection")</f>
        <v>684. Redundant Connection</v>
      </c>
      <c r="B230" t="s">
        <v>7</v>
      </c>
      <c r="C230" t="s">
        <v>217</v>
      </c>
      <c r="D230" t="s">
        <v>20</v>
      </c>
    </row>
    <row r="231" spans="1:4" x14ac:dyDescent="0.45">
      <c r="A231" t="str">
        <f>HYPERLINK("https://leetcode.com/problems/range-module", "715. Range Module")</f>
        <v>715. Range Module</v>
      </c>
      <c r="B231" t="s">
        <v>12</v>
      </c>
      <c r="C231" t="s">
        <v>283</v>
      </c>
      <c r="D231" t="s">
        <v>44</v>
      </c>
    </row>
    <row r="232" spans="1:4" x14ac:dyDescent="0.45">
      <c r="A232" t="str">
        <f>HYPERLINK("https://leetcode.com/problems/accounts-merge", "721. Accounts Merge")</f>
        <v>721. Accounts Merge</v>
      </c>
      <c r="B232" t="s">
        <v>7</v>
      </c>
      <c r="C232" t="s">
        <v>32</v>
      </c>
      <c r="D232" t="s">
        <v>99</v>
      </c>
    </row>
    <row r="233" spans="1:4" x14ac:dyDescent="0.45">
      <c r="A233" t="str">
        <f>HYPERLINK("https://leetcode.com/problems/flood-fill", "733. Flood Fill")</f>
        <v>733. Flood Fill</v>
      </c>
      <c r="B233" t="s">
        <v>4</v>
      </c>
      <c r="C233" t="s">
        <v>30</v>
      </c>
      <c r="D233" t="s">
        <v>11</v>
      </c>
    </row>
    <row r="234" spans="1:4" x14ac:dyDescent="0.45">
      <c r="A234" t="str">
        <f>HYPERLINK("https://leetcode.com/problems/asteroid-collision", "735. Asteroid Collision")</f>
        <v>735. Asteroid Collision</v>
      </c>
      <c r="B234" t="s">
        <v>7</v>
      </c>
      <c r="C234" t="s">
        <v>229</v>
      </c>
      <c r="D234" t="s">
        <v>284</v>
      </c>
    </row>
    <row r="235" spans="1:4" x14ac:dyDescent="0.45">
      <c r="A235" t="str">
        <f>HYPERLINK("https://leetcode.com/problems/daily-temperatures", "739. Daily Temperatures")</f>
        <v>739. Daily Temperatures</v>
      </c>
      <c r="B235" t="s">
        <v>7</v>
      </c>
      <c r="C235" t="s">
        <v>285</v>
      </c>
      <c r="D235" t="s">
        <v>11</v>
      </c>
    </row>
    <row r="236" spans="1:4" x14ac:dyDescent="0.45">
      <c r="A236" t="str">
        <f>HYPERLINK("https://leetcode.com/problems/min-cost-climbing-stairs", "746. Min Cost Climbing Stairs")</f>
        <v>746. Min Cost Climbing Stairs</v>
      </c>
      <c r="B236" t="s">
        <v>4</v>
      </c>
      <c r="C236" t="s">
        <v>286</v>
      </c>
      <c r="D236" t="s">
        <v>61</v>
      </c>
    </row>
    <row r="237" spans="1:4" x14ac:dyDescent="0.45">
      <c r="A237" t="str">
        <f>HYPERLINK("https://leetcode.com/problems/reorganize-string", "767. Reorganize String")</f>
        <v>767. Reorganize String</v>
      </c>
      <c r="B237" t="s">
        <v>7</v>
      </c>
      <c r="C237" t="s">
        <v>287</v>
      </c>
      <c r="D237" t="s">
        <v>68</v>
      </c>
    </row>
    <row r="238" spans="1:4" x14ac:dyDescent="0.45">
      <c r="A238" t="str">
        <f>HYPERLINK("https://leetcode.com/problems/jewels-and-stones", "771. Jewels and Stones")</f>
        <v>771. Jewels and Stones</v>
      </c>
      <c r="B238" t="s">
        <v>4</v>
      </c>
      <c r="C238" t="s">
        <v>288</v>
      </c>
      <c r="D238" t="s">
        <v>34</v>
      </c>
    </row>
    <row r="239" spans="1:4" x14ac:dyDescent="0.45">
      <c r="A239" t="str">
        <f>HYPERLINK("https://leetcode.com/problems/kth-largest-element-in-a-stream", "703. Kth Largest Element in a Stream")</f>
        <v>703. Kth Largest Element in a Stream</v>
      </c>
      <c r="B239" t="s">
        <v>4</v>
      </c>
      <c r="C239" t="s">
        <v>131</v>
      </c>
      <c r="D239" t="s">
        <v>68</v>
      </c>
    </row>
    <row r="240" spans="1:4" x14ac:dyDescent="0.45">
      <c r="A240" t="str">
        <f>HYPERLINK("https://leetcode.com/problems/binary-search", "704. Binary Search")</f>
        <v>704. Binary Search</v>
      </c>
      <c r="B240" t="s">
        <v>4</v>
      </c>
      <c r="C240" t="s">
        <v>173</v>
      </c>
      <c r="D240" t="s">
        <v>114</v>
      </c>
    </row>
    <row r="241" spans="1:4" x14ac:dyDescent="0.45">
      <c r="A241" t="str">
        <f>HYPERLINK("https://leetcode.com/problems/cheapest-flights-within-k-stops", "787. Cheapest Flights Within K Stops")</f>
        <v>787. Cheapest Flights Within K Stops</v>
      </c>
      <c r="B241" t="s">
        <v>7</v>
      </c>
      <c r="C241" t="s">
        <v>169</v>
      </c>
      <c r="D241" t="s">
        <v>208</v>
      </c>
    </row>
    <row r="242" spans="1:4" x14ac:dyDescent="0.45">
      <c r="A242" t="str">
        <f>HYPERLINK("https://leetcode.com/problems/guess-the-word", "843. Guess the Word")</f>
        <v>843. Guess the Word</v>
      </c>
      <c r="B242" t="s">
        <v>12</v>
      </c>
      <c r="C242" t="s">
        <v>289</v>
      </c>
      <c r="D242" t="s">
        <v>290</v>
      </c>
    </row>
    <row r="243" spans="1:4" x14ac:dyDescent="0.45">
      <c r="A243" t="str">
        <f>HYPERLINK("https://leetcode.com/problems/koko-eating-bananas", "875. Koko Eating Bananas")</f>
        <v>875. Koko Eating Bananas</v>
      </c>
      <c r="B243" t="s">
        <v>7</v>
      </c>
      <c r="C243" t="s">
        <v>43</v>
      </c>
      <c r="D243" t="s">
        <v>50</v>
      </c>
    </row>
    <row r="244" spans="1:4" x14ac:dyDescent="0.45">
      <c r="A244" t="str">
        <f>HYPERLINK("https://leetcode.com/problems/middle-of-the-linked-list", "876. Middle of the Linked List")</f>
        <v>876. Middle of the Linked List</v>
      </c>
      <c r="B244" t="s">
        <v>4</v>
      </c>
      <c r="C244" t="s">
        <v>291</v>
      </c>
      <c r="D244" t="s">
        <v>11</v>
      </c>
    </row>
    <row r="245" spans="1:4" x14ac:dyDescent="0.45">
      <c r="A245" t="str">
        <f>HYPERLINK("https://leetcode.com/problems/random-pick-with-weight", "528. Random Pick with Weight")</f>
        <v>528. Random Pick with Weight</v>
      </c>
      <c r="B245" t="s">
        <v>7</v>
      </c>
      <c r="C245" t="s">
        <v>88</v>
      </c>
      <c r="D245" t="s">
        <v>120</v>
      </c>
    </row>
    <row r="246" spans="1:4" x14ac:dyDescent="0.45">
      <c r="A246" t="str">
        <f>HYPERLINK("https://leetcode.com/problems/rle-iterator", "900. RLE Iterator")</f>
        <v>900. RLE Iterator</v>
      </c>
      <c r="B246" t="s">
        <v>7</v>
      </c>
      <c r="C246" t="s">
        <v>131</v>
      </c>
      <c r="D246" t="s">
        <v>44</v>
      </c>
    </row>
    <row r="247" spans="1:4" x14ac:dyDescent="0.45">
      <c r="A247" t="str">
        <f>HYPERLINK("https://leetcode.com/problems/sort-array-by-parity", "905. Sort Array By Parity")</f>
        <v>905. Sort Array By Parity</v>
      </c>
      <c r="B247" t="s">
        <v>4</v>
      </c>
      <c r="C247" t="s">
        <v>292</v>
      </c>
      <c r="D247" t="s">
        <v>34</v>
      </c>
    </row>
    <row r="248" spans="1:4" x14ac:dyDescent="0.45">
      <c r="A248" t="str">
        <f>HYPERLINK("https://leetcode.com/problems/minimum-area-rectangle", "939. Minimum Area Rectangle")</f>
        <v>939. Minimum Area Rectangle</v>
      </c>
      <c r="B248" t="s">
        <v>7</v>
      </c>
      <c r="C248" t="s">
        <v>187</v>
      </c>
      <c r="D248" t="s">
        <v>34</v>
      </c>
    </row>
    <row r="249" spans="1:4" x14ac:dyDescent="0.45">
      <c r="A249" t="str">
        <f>HYPERLINK("https://leetcode.com/problems/maximum-width-ramp", "962. Maximum Width Ramp")</f>
        <v>962. Maximum Width Ramp</v>
      </c>
      <c r="B249" t="s">
        <v>7</v>
      </c>
      <c r="C249" t="s">
        <v>293</v>
      </c>
      <c r="D249" t="s">
        <v>234</v>
      </c>
    </row>
    <row r="250" spans="1:4" x14ac:dyDescent="0.45">
      <c r="A250" t="str">
        <f>HYPERLINK("https://leetcode.com/problems/minimum-area-rectangle-ii", "963. Minimum Area Rectangle II")</f>
        <v>963. Minimum Area Rectangle II</v>
      </c>
      <c r="B250" t="s">
        <v>7</v>
      </c>
      <c r="C250" t="s">
        <v>242</v>
      </c>
      <c r="D250" t="s">
        <v>44</v>
      </c>
    </row>
    <row r="251" spans="1:4" x14ac:dyDescent="0.45">
      <c r="A251" t="str">
        <f>HYPERLINK("https://leetcode.com/problems/fibonacci-number", "509. Fibonacci Number")</f>
        <v>509. Fibonacci Number</v>
      </c>
      <c r="B251" t="s">
        <v>4</v>
      </c>
      <c r="C251" t="s">
        <v>294</v>
      </c>
      <c r="D251" t="s">
        <v>208</v>
      </c>
    </row>
    <row r="252" spans="1:4" x14ac:dyDescent="0.45">
      <c r="A252" t="str">
        <f>HYPERLINK("https://leetcode.com/problems/create-a-dataframe-from-list", "2877. Create a DataFrame from List")</f>
        <v>2877. Create a DataFrame from List</v>
      </c>
      <c r="B252" t="s">
        <v>4</v>
      </c>
      <c r="C252" t="s">
        <v>295</v>
      </c>
      <c r="D252" t="s">
        <v>54</v>
      </c>
    </row>
    <row r="253" spans="1:4" x14ac:dyDescent="0.45">
      <c r="A253" t="str">
        <f>HYPERLINK("https://leetcode.com/problems/k-closest-points-to-origin", "973. K Closest Points to Origin")</f>
        <v>973. K Closest Points to Origin</v>
      </c>
      <c r="B253" t="s">
        <v>7</v>
      </c>
      <c r="C253" t="s">
        <v>221</v>
      </c>
      <c r="D253" t="s">
        <v>296</v>
      </c>
    </row>
    <row r="254" spans="1:4" x14ac:dyDescent="0.45">
      <c r="A254" t="str">
        <f>HYPERLINK("https://leetcode.com/problems/squares-of-a-sorted-array", "977. Squares of a Sorted Array")</f>
        <v>977. Squares of a Sorted Array</v>
      </c>
      <c r="B254" t="s">
        <v>4</v>
      </c>
      <c r="C254" t="s">
        <v>268</v>
      </c>
      <c r="D254" t="s">
        <v>74</v>
      </c>
    </row>
    <row r="255" spans="1:4" x14ac:dyDescent="0.45">
      <c r="A255" t="str">
        <f>HYPERLINK("https://leetcode.com/problems/subarrays-with-k-different-integers", "992. Subarrays with K Different Integers")</f>
        <v>992. Subarrays with K Different Integers</v>
      </c>
      <c r="B255" t="s">
        <v>12</v>
      </c>
      <c r="C255" t="s">
        <v>297</v>
      </c>
      <c r="D255" t="s">
        <v>128</v>
      </c>
    </row>
    <row r="256" spans="1:4" x14ac:dyDescent="0.45">
      <c r="A256" t="str">
        <f>HYPERLINK("https://leetcode.com/problems/rotting-oranges", "994. Rotting Oranges")</f>
        <v>994. Rotting Oranges</v>
      </c>
      <c r="B256" t="s">
        <v>7</v>
      </c>
      <c r="C256" t="s">
        <v>21</v>
      </c>
      <c r="D256" t="s">
        <v>298</v>
      </c>
    </row>
    <row r="257" spans="1:4" x14ac:dyDescent="0.45">
      <c r="A257" t="str">
        <f>HYPERLINK("https://leetcode.com/problems/max-consecutive-ones-iii", "1004. Max Consecutive Ones III")</f>
        <v>1004. Max Consecutive Ones III</v>
      </c>
      <c r="B257" t="s">
        <v>7</v>
      </c>
      <c r="C257" t="s">
        <v>299</v>
      </c>
      <c r="D257" t="s">
        <v>300</v>
      </c>
    </row>
    <row r="258" spans="1:4" x14ac:dyDescent="0.45">
      <c r="A258" t="str">
        <f>HYPERLINK("https://leetcode.com/problems/capacity-to-ship-packages-within-d-days", "1011. Capacity To Ship Packages Within D Days")</f>
        <v>1011. Capacity To Ship Packages Within D Days</v>
      </c>
      <c r="B258" t="s">
        <v>7</v>
      </c>
      <c r="C258" t="s">
        <v>193</v>
      </c>
      <c r="D258" t="s">
        <v>20</v>
      </c>
    </row>
    <row r="259" spans="1:4" x14ac:dyDescent="0.45">
      <c r="A259" t="str">
        <f>HYPERLINK("https://leetcode.com/problems/the-earliest-moment-when-everyone-become-friends", "1101. The Earliest Moment When Everyone Become Friends")</f>
        <v>1101. The Earliest Moment When Everyone Become Friends</v>
      </c>
      <c r="B259" t="s">
        <v>7</v>
      </c>
      <c r="C259" t="s">
        <v>165</v>
      </c>
      <c r="D259" t="s">
        <v>44</v>
      </c>
    </row>
    <row r="260" spans="1:4" x14ac:dyDescent="0.45">
      <c r="A260" t="str">
        <f>HYPERLINK("https://leetcode.com/problems/shortest-path-in-binary-matrix", "1091. Shortest Path in Binary Matrix")</f>
        <v>1091. Shortest Path in Binary Matrix</v>
      </c>
      <c r="B260" t="s">
        <v>7</v>
      </c>
      <c r="C260" t="s">
        <v>301</v>
      </c>
      <c r="D260" t="s">
        <v>68</v>
      </c>
    </row>
    <row r="261" spans="1:4" x14ac:dyDescent="0.45">
      <c r="A261" t="str">
        <f>HYPERLINK("https://leetcode.com/problems/defanging-an-ip-address", "1108. Defanging an IP Address")</f>
        <v>1108. Defanging an IP Address</v>
      </c>
      <c r="B261" t="s">
        <v>4</v>
      </c>
      <c r="C261" t="s">
        <v>302</v>
      </c>
      <c r="D261" t="s">
        <v>303</v>
      </c>
    </row>
    <row r="262" spans="1:4" x14ac:dyDescent="0.45">
      <c r="A262" t="str">
        <f>HYPERLINK("https://leetcode.com/problems/delete-nodes-and-return-forest", "1110. Delete Nodes And Return Forest")</f>
        <v>1110. Delete Nodes And Return Forest</v>
      </c>
      <c r="B262" t="s">
        <v>7</v>
      </c>
      <c r="C262" t="s">
        <v>304</v>
      </c>
      <c r="D262" t="s">
        <v>34</v>
      </c>
    </row>
    <row r="263" spans="1:4" x14ac:dyDescent="0.45">
      <c r="A263" t="str">
        <f>HYPERLINK("https://leetcode.com/problems/snapshot-array", "1146. Snapshot Array")</f>
        <v>1146. Snapshot Array</v>
      </c>
      <c r="B263" t="s">
        <v>7</v>
      </c>
      <c r="C263" t="s">
        <v>118</v>
      </c>
      <c r="D263" t="s">
        <v>214</v>
      </c>
    </row>
    <row r="264" spans="1:4" x14ac:dyDescent="0.45">
      <c r="A264" t="str">
        <f>HYPERLINK("https://leetcode.com/problems/immediate-food-delivery-ii", "1174. Immediate Food Delivery II")</f>
        <v>1174. Immediate Food Delivery II</v>
      </c>
      <c r="B264" t="s">
        <v>7</v>
      </c>
      <c r="C264" t="s">
        <v>305</v>
      </c>
      <c r="D264" t="s">
        <v>234</v>
      </c>
    </row>
    <row r="265" spans="1:4" x14ac:dyDescent="0.45">
      <c r="A265" t="str">
        <f>HYPERLINK("https://leetcode.com/problems/critical-connections-in-a-network", "1192. Critical Connections in a Network")</f>
        <v>1192. Critical Connections in a Network</v>
      </c>
      <c r="B265" t="s">
        <v>12</v>
      </c>
      <c r="C265" t="s">
        <v>15</v>
      </c>
      <c r="D265" t="s">
        <v>61</v>
      </c>
    </row>
    <row r="266" spans="1:4" x14ac:dyDescent="0.45">
      <c r="A266" t="str">
        <f>HYPERLINK("https://leetcode.com/problems/unique-number-of-occurrences", "1207. Unique Number of Occurrences")</f>
        <v>1207. Unique Number of Occurrences</v>
      </c>
      <c r="B266" t="s">
        <v>4</v>
      </c>
      <c r="C266" t="s">
        <v>306</v>
      </c>
      <c r="D266" t="s">
        <v>234</v>
      </c>
    </row>
    <row r="267" spans="1:4" x14ac:dyDescent="0.45">
      <c r="A267" t="str">
        <f>HYPERLINK("https://leetcode.com/problems/longest-arithmetic-subsequence-of-given-difference", "1218. Longest Arithmetic Subsequence of Given Difference")</f>
        <v>1218. Longest Arithmetic Subsequence of Given Difference</v>
      </c>
      <c r="B267" t="s">
        <v>7</v>
      </c>
      <c r="C267" t="s">
        <v>307</v>
      </c>
      <c r="D267" t="s">
        <v>44</v>
      </c>
    </row>
    <row r="268" spans="1:4" x14ac:dyDescent="0.45">
      <c r="A268" t="str">
        <f>HYPERLINK("https://leetcode.com/problems/score-of-a-string", "3110. Score of a String")</f>
        <v>3110. Score of a String</v>
      </c>
      <c r="B268" t="s">
        <v>4</v>
      </c>
      <c r="C268" t="s">
        <v>308</v>
      </c>
      <c r="D268" t="s">
        <v>34</v>
      </c>
    </row>
    <row r="269" spans="1:4" x14ac:dyDescent="0.45">
      <c r="A269" t="str">
        <f>HYPERLINK("https://leetcode.com/problems/count-number-of-nice-subarrays", "1248. Count Number of Nice Subarrays")</f>
        <v>1248. Count Number of Nice Subarrays</v>
      </c>
      <c r="B269" t="s">
        <v>7</v>
      </c>
      <c r="C269" t="s">
        <v>294</v>
      </c>
      <c r="D269" t="s">
        <v>309</v>
      </c>
    </row>
    <row r="270" spans="1:4" x14ac:dyDescent="0.45">
      <c r="A270" t="str">
        <f>HYPERLINK("https://leetcode.com/problems/count-square-submatrices-with-all-ones", "1277. Count Square Submatrices with All Ones")</f>
        <v>1277. Count Square Submatrices with All Ones</v>
      </c>
      <c r="B270" t="s">
        <v>7</v>
      </c>
      <c r="C270" t="s">
        <v>310</v>
      </c>
      <c r="D270" t="s">
        <v>34</v>
      </c>
    </row>
    <row r="271" spans="1:4" x14ac:dyDescent="0.45">
      <c r="A271" t="str">
        <f>HYPERLINK("https://leetcode.com/problems/shortest-path-in-a-grid-with-obstacles-elimination", "1293. Shortest Path in a Grid with Obstacles Elimination")</f>
        <v>1293. Shortest Path in a Grid with Obstacles Elimination</v>
      </c>
      <c r="B271" t="s">
        <v>12</v>
      </c>
      <c r="C271" t="s">
        <v>311</v>
      </c>
      <c r="D271" t="s">
        <v>234</v>
      </c>
    </row>
    <row r="272" spans="1:4" x14ac:dyDescent="0.45">
      <c r="A272" t="str">
        <f>HYPERLINK("https://leetcode.com/problems/design-a-stack-with-increment-operation", "1381. Design a Stack With Increment Operation")</f>
        <v>1381. Design a Stack With Increment Operation</v>
      </c>
      <c r="B272" t="s">
        <v>7</v>
      </c>
      <c r="C272" t="s">
        <v>153</v>
      </c>
      <c r="D272" t="s">
        <v>44</v>
      </c>
    </row>
    <row r="273" spans="1:4" x14ac:dyDescent="0.45">
      <c r="A273" t="str">
        <f>HYPERLINK("https://leetcode.com/problems/replace-employee-id-with-the-unique-identifier", "1378. Replace Employee ID With The Unique Identifier")</f>
        <v>1378. Replace Employee ID With The Unique Identifier</v>
      </c>
      <c r="B273" t="s">
        <v>4</v>
      </c>
      <c r="C273" t="s">
        <v>312</v>
      </c>
      <c r="D273" t="s">
        <v>11</v>
      </c>
    </row>
    <row r="274" spans="1:4" x14ac:dyDescent="0.45">
      <c r="A274" t="str">
        <f>HYPERLINK("https://leetcode.com/problems/maximum-points-you-can-obtain-from-cards", "1423. Maximum Points You Can Obtain from Cards")</f>
        <v>1423. Maximum Points You Can Obtain from Cards</v>
      </c>
      <c r="B274" t="s">
        <v>7</v>
      </c>
      <c r="C274" t="s">
        <v>248</v>
      </c>
      <c r="D274" t="s">
        <v>44</v>
      </c>
    </row>
    <row r="275" spans="1:4" x14ac:dyDescent="0.45">
      <c r="A275" t="str">
        <f>HYPERLINK("https://leetcode.com/problems/longest-continuous-subarray-with-absolute-diff-less-than-or-equal-to-limit", "1438. Longest Continuous Subarray With Absolute Diff Less Than or Equal to Limit")</f>
        <v>1438. Longest Continuous Subarray With Absolute Diff Less Than or Equal to Limit</v>
      </c>
      <c r="B275" t="s">
        <v>7</v>
      </c>
      <c r="C275" t="s">
        <v>313</v>
      </c>
      <c r="D275" t="s">
        <v>46</v>
      </c>
    </row>
    <row r="276" spans="1:4" x14ac:dyDescent="0.45">
      <c r="A276" t="str">
        <f>HYPERLINK("https://leetcode.com/problems/running-sum-of-1d-array", "1480. Running Sum of 1d Array")</f>
        <v>1480. Running Sum of 1d Array</v>
      </c>
      <c r="B276" t="s">
        <v>4</v>
      </c>
      <c r="C276" t="s">
        <v>314</v>
      </c>
      <c r="D276" t="s">
        <v>91</v>
      </c>
    </row>
    <row r="277" spans="1:4" x14ac:dyDescent="0.45">
      <c r="A277" t="str">
        <f>HYPERLINK("https://leetcode.com/problems/minimum-number-of-days-to-make-m-bouquets", "1482. Minimum Number of Days to Make m Bouquets")</f>
        <v>1482. Minimum Number of Days to Make m Bouquets</v>
      </c>
      <c r="B277" t="s">
        <v>7</v>
      </c>
      <c r="C277" t="s">
        <v>315</v>
      </c>
      <c r="D277" t="s">
        <v>11</v>
      </c>
    </row>
    <row r="278" spans="1:4" x14ac:dyDescent="0.45">
      <c r="A278" t="str">
        <f>HYPERLINK("https://leetcode.com/problems/minimum-difference-between-largest-and-smallest-value-in-three-moves", "1509. Minimum Difference Between Largest and Smallest Value in Three Moves")</f>
        <v>1509. Minimum Difference Between Largest and Smallest Value in Three Moves</v>
      </c>
      <c r="B278" t="s">
        <v>7</v>
      </c>
      <c r="C278" t="s">
        <v>270</v>
      </c>
      <c r="D278" t="s">
        <v>44</v>
      </c>
    </row>
    <row r="279" spans="1:4" x14ac:dyDescent="0.45">
      <c r="A279" t="str">
        <f>HYPERLINK("https://leetcode.com/problems/customer-who-visited-but-did-not-make-any-transactions", "1581. Customer Who Visited but Did Not Make Any Transactions")</f>
        <v>1581. Customer Who Visited but Did Not Make Any Transactions</v>
      </c>
      <c r="B279" t="s">
        <v>4</v>
      </c>
      <c r="C279" t="s">
        <v>316</v>
      </c>
      <c r="D279" t="s">
        <v>34</v>
      </c>
    </row>
    <row r="280" spans="1:4" x14ac:dyDescent="0.45">
      <c r="A280" t="str">
        <f>HYPERLINK("https://leetcode.com/problems/furthest-building-you-can-reach", "1642. Furthest Building You Can Reach")</f>
        <v>1642. Furthest Building You Can Reach</v>
      </c>
      <c r="B280" t="s">
        <v>7</v>
      </c>
      <c r="C280" t="s">
        <v>317</v>
      </c>
      <c r="D280" t="s">
        <v>61</v>
      </c>
    </row>
    <row r="281" spans="1:4" x14ac:dyDescent="0.45">
      <c r="A281" t="str">
        <f>HYPERLINK("https://leetcode.com/problems/average-time-of-process-per-machine", "1661. Average Time of Process per Machine")</f>
        <v>1661. Average Time of Process per Machine</v>
      </c>
      <c r="B281" t="s">
        <v>4</v>
      </c>
      <c r="C281" t="s">
        <v>318</v>
      </c>
      <c r="D281" t="s">
        <v>234</v>
      </c>
    </row>
    <row r="282" spans="1:4" x14ac:dyDescent="0.45">
      <c r="A282" t="str">
        <f>HYPERLINK("https://leetcode.com/problems/merge-strings-alternately", "1768. Merge Strings Alternately")</f>
        <v>1768. Merge Strings Alternately</v>
      </c>
      <c r="B282" t="s">
        <v>4</v>
      </c>
      <c r="C282" t="s">
        <v>85</v>
      </c>
      <c r="D282" t="s">
        <v>11</v>
      </c>
    </row>
    <row r="283" spans="1:4" x14ac:dyDescent="0.45">
      <c r="A283" t="str">
        <f>HYPERLINK("https://leetcode.com/problems/finding-mk-average", "1825. Finding MK Average")</f>
        <v>1825. Finding MK Average</v>
      </c>
      <c r="B283" t="s">
        <v>12</v>
      </c>
      <c r="C283" t="s">
        <v>319</v>
      </c>
      <c r="D283" t="s">
        <v>44</v>
      </c>
    </row>
    <row r="284" spans="1:4" x14ac:dyDescent="0.45">
      <c r="A284" t="str">
        <f>HYPERLINK("https://leetcode.com/problems/single-threaded-cpu", "1834. Single-Threaded CPU")</f>
        <v>1834. Single-Threaded CPU</v>
      </c>
      <c r="B284" t="s">
        <v>7</v>
      </c>
      <c r="C284" t="s">
        <v>320</v>
      </c>
      <c r="D284" t="s">
        <v>214</v>
      </c>
    </row>
    <row r="285" spans="1:4" x14ac:dyDescent="0.45">
      <c r="A285" t="str">
        <f>HYPERLINK("https://leetcode.com/problems/frequency-of-the-most-frequent-element", "1838. Frequency of the Most Frequent Element")</f>
        <v>1838. Frequency of the Most Frequent Element</v>
      </c>
      <c r="B285" t="s">
        <v>7</v>
      </c>
      <c r="C285" t="s">
        <v>321</v>
      </c>
      <c r="D285" t="s">
        <v>322</v>
      </c>
    </row>
    <row r="286" spans="1:4" x14ac:dyDescent="0.45">
      <c r="A286" t="str">
        <f>HYPERLINK("https://leetcode.com/problems/kids-with-the-greatest-number-of-candies", "1431. Kids With the Greatest Number of Candies")</f>
        <v>1431. Kids With the Greatest Number of Candies</v>
      </c>
      <c r="B286" t="s">
        <v>4</v>
      </c>
      <c r="C286" t="s">
        <v>249</v>
      </c>
      <c r="D286" t="s">
        <v>11</v>
      </c>
    </row>
    <row r="287" spans="1:4" x14ac:dyDescent="0.45">
      <c r="A287" t="str">
        <f>HYPERLINK("https://leetcode.com/problems/keys-and-rooms", "841. Keys and Rooms")</f>
        <v>841. Keys and Rooms</v>
      </c>
      <c r="B287" t="s">
        <v>7</v>
      </c>
      <c r="C287" t="s">
        <v>323</v>
      </c>
      <c r="D287" t="s">
        <v>61</v>
      </c>
    </row>
    <row r="288" spans="1:4" x14ac:dyDescent="0.45">
      <c r="A288" t="str">
        <f>HYPERLINK("https://leetcode.com/problems/count-good-numbers", "1922. Count Good Numbers")</f>
        <v>1922. Count Good Numbers</v>
      </c>
      <c r="B288" t="s">
        <v>7</v>
      </c>
      <c r="C288" t="s">
        <v>45</v>
      </c>
      <c r="D288" t="s">
        <v>128</v>
      </c>
    </row>
    <row r="289" spans="1:4" x14ac:dyDescent="0.45">
      <c r="A289" t="str">
        <f>HYPERLINK("https://leetcode.com/problems/find-original-array-from-doubled-array", "2007. Find Original Array From Doubled Array")</f>
        <v>2007. Find Original Array From Doubled Array</v>
      </c>
      <c r="B289" t="s">
        <v>7</v>
      </c>
      <c r="C289" t="s">
        <v>324</v>
      </c>
      <c r="D289" t="s">
        <v>44</v>
      </c>
    </row>
    <row r="290" spans="1:4" x14ac:dyDescent="0.45">
      <c r="A290" t="str">
        <f>HYPERLINK("https://leetcode.com/problems/parallel-courses-iii", "2050. Parallel Courses III")</f>
        <v>2050. Parallel Courses III</v>
      </c>
      <c r="B290" t="s">
        <v>12</v>
      </c>
      <c r="C290" t="s">
        <v>174</v>
      </c>
      <c r="D290" t="s">
        <v>61</v>
      </c>
    </row>
    <row r="291" spans="1:4" x14ac:dyDescent="0.45">
      <c r="A291" t="str">
        <f>HYPERLINK("https://leetcode.com/problems/clone-graph", "133. Clone Graph")</f>
        <v>133. Clone Graph</v>
      </c>
      <c r="B291" t="s">
        <v>7</v>
      </c>
      <c r="C291" t="s">
        <v>325</v>
      </c>
      <c r="D291" t="s">
        <v>68</v>
      </c>
    </row>
    <row r="292" spans="1:4" x14ac:dyDescent="0.45">
      <c r="A292" t="str">
        <f>HYPERLINK("https://leetcode.com/problems/word-break-ii", "140. Word Break II")</f>
        <v>140. Word Break II</v>
      </c>
      <c r="B292" t="s">
        <v>12</v>
      </c>
      <c r="C292" t="s">
        <v>180</v>
      </c>
      <c r="D292" t="s">
        <v>114</v>
      </c>
    </row>
    <row r="293" spans="1:4" x14ac:dyDescent="0.45">
      <c r="A293" t="str">
        <f>HYPERLINK("https://leetcode.com/problems/min-stack", "155. Min Stack")</f>
        <v>155. Min Stack</v>
      </c>
      <c r="B293" t="s">
        <v>7</v>
      </c>
      <c r="C293" t="s">
        <v>326</v>
      </c>
      <c r="D293" t="s">
        <v>195</v>
      </c>
    </row>
    <row r="294" spans="1:4" x14ac:dyDescent="0.45">
      <c r="A294" t="str">
        <f>HYPERLINK("https://leetcode.com/problems/fraction-to-recurring-decimal", "166. Fraction to Recurring Decimal")</f>
        <v>166. Fraction to Recurring Decimal</v>
      </c>
      <c r="B294" t="s">
        <v>7</v>
      </c>
      <c r="C294" t="s">
        <v>327</v>
      </c>
      <c r="D294" t="s">
        <v>328</v>
      </c>
    </row>
    <row r="295" spans="1:4" x14ac:dyDescent="0.45">
      <c r="A295" t="str">
        <f>HYPERLINK("https://leetcode.com/problems/shortest-palindrome", "214. Shortest Palindrome")</f>
        <v>214. Shortest Palindrome</v>
      </c>
      <c r="B295" t="s">
        <v>12</v>
      </c>
      <c r="C295" t="s">
        <v>329</v>
      </c>
      <c r="D295" t="s">
        <v>330</v>
      </c>
    </row>
    <row r="296" spans="1:4" x14ac:dyDescent="0.45">
      <c r="A296" t="str">
        <f>HYPERLINK("https://leetcode.com/problems/the-skyline-problem", "218. The Skyline Problem")</f>
        <v>218. The Skyline Problem</v>
      </c>
      <c r="B296" t="s">
        <v>12</v>
      </c>
      <c r="C296" t="s">
        <v>331</v>
      </c>
      <c r="D296" t="s">
        <v>332</v>
      </c>
    </row>
    <row r="297" spans="1:4" x14ac:dyDescent="0.45">
      <c r="A297" t="str">
        <f>HYPERLINK("https://leetcode.com/problems/summary-ranges", "228. Summary Ranges")</f>
        <v>228. Summary Ranges</v>
      </c>
      <c r="B297" t="s">
        <v>4</v>
      </c>
      <c r="C297" t="s">
        <v>333</v>
      </c>
      <c r="D297" t="s">
        <v>11</v>
      </c>
    </row>
    <row r="298" spans="1:4" x14ac:dyDescent="0.45">
      <c r="A298" t="str">
        <f>HYPERLINK("https://leetcode.com/problems/search-a-2d-matrix-ii", "240. Search a 2D Matrix II")</f>
        <v>240. Search a 2D Matrix II</v>
      </c>
      <c r="B298" t="s">
        <v>7</v>
      </c>
      <c r="C298" t="s">
        <v>334</v>
      </c>
      <c r="D298" t="s">
        <v>228</v>
      </c>
    </row>
    <row r="299" spans="1:4" x14ac:dyDescent="0.45">
      <c r="A299" t="str">
        <f>HYPERLINK("https://leetcode.com/problems/counting-words-with-a-given-prefix", "2185. Counting Words With a Given Prefix")</f>
        <v>2185. Counting Words With a Given Prefix</v>
      </c>
      <c r="B299" t="s">
        <v>4</v>
      </c>
      <c r="C299" t="s">
        <v>335</v>
      </c>
      <c r="D299" t="s">
        <v>63</v>
      </c>
    </row>
    <row r="300" spans="1:4" x14ac:dyDescent="0.45">
      <c r="A300" t="str">
        <f>HYPERLINK("https://leetcode.com/problems/group-shifted-strings", "249. Group Shifted Strings")</f>
        <v>249. Group Shifted Strings</v>
      </c>
      <c r="B300" t="s">
        <v>7</v>
      </c>
      <c r="C300" t="s">
        <v>336</v>
      </c>
      <c r="D300" t="s">
        <v>34</v>
      </c>
    </row>
    <row r="301" spans="1:4" x14ac:dyDescent="0.45">
      <c r="A301" t="str">
        <f>HYPERLINK("https://leetcode.com/problems/game-of-life", "289. Game of Life")</f>
        <v>289. Game of Life</v>
      </c>
      <c r="B301" t="s">
        <v>7</v>
      </c>
      <c r="C301" t="s">
        <v>337</v>
      </c>
      <c r="D301" t="s">
        <v>338</v>
      </c>
    </row>
    <row r="302" spans="1:4" x14ac:dyDescent="0.45">
      <c r="A302" t="str">
        <f>HYPERLINK("https://leetcode.com/problems/serialize-and-deserialize-binary-tree", "297. Serialize and Deserialize Binary Tree")</f>
        <v>297. Serialize and Deserialize Binary Tree</v>
      </c>
      <c r="B302" t="s">
        <v>12</v>
      </c>
      <c r="C302" t="s">
        <v>181</v>
      </c>
      <c r="D302" t="s">
        <v>339</v>
      </c>
    </row>
    <row r="303" spans="1:4" x14ac:dyDescent="0.45">
      <c r="A303" t="str">
        <f>HYPERLINK("https://leetcode.com/problems/bulls-and-cows", "299. Bulls and Cows")</f>
        <v>299. Bulls and Cows</v>
      </c>
      <c r="B303" t="s">
        <v>7</v>
      </c>
      <c r="C303" t="s">
        <v>340</v>
      </c>
      <c r="D303" t="s">
        <v>61</v>
      </c>
    </row>
    <row r="304" spans="1:4" x14ac:dyDescent="0.45">
      <c r="A304" t="str">
        <f>HYPERLINK("https://leetcode.com/problems/best-time-to-buy-and-sell-stock-with-cooldown", "309. Best Time to Buy and Sell Stock with Cooldown")</f>
        <v>309. Best Time to Buy and Sell Stock with Cooldown</v>
      </c>
      <c r="B304" t="s">
        <v>7</v>
      </c>
      <c r="C304" t="s">
        <v>280</v>
      </c>
      <c r="D304" t="s">
        <v>44</v>
      </c>
    </row>
    <row r="305" spans="1:4" x14ac:dyDescent="0.45">
      <c r="A305" t="str">
        <f>HYPERLINK("https://leetcode.com/problems/minimum-height-trees", "310. Minimum Height Trees")</f>
        <v>310. Minimum Height Trees</v>
      </c>
      <c r="B305" t="s">
        <v>7</v>
      </c>
      <c r="C305" t="s">
        <v>341</v>
      </c>
      <c r="D305" t="s">
        <v>34</v>
      </c>
    </row>
    <row r="306" spans="1:4" x14ac:dyDescent="0.45">
      <c r="A306" t="str">
        <f>HYPERLINK("https://leetcode.com/problems/binary-tree-vertical-order-traversal", "314. Binary Tree Vertical Order Traversal")</f>
        <v>314. Binary Tree Vertical Order Traversal</v>
      </c>
      <c r="B306" t="s">
        <v>7</v>
      </c>
      <c r="C306" t="s">
        <v>342</v>
      </c>
      <c r="D306" t="s">
        <v>20</v>
      </c>
    </row>
    <row r="307" spans="1:4" x14ac:dyDescent="0.45">
      <c r="A307" t="str">
        <f>HYPERLINK("https://leetcode.com/problems/count-of-smaller-numbers-after-self", "315. Count of Smaller Numbers After Self")</f>
        <v>315. Count of Smaller Numbers After Self</v>
      </c>
      <c r="B307" t="s">
        <v>12</v>
      </c>
      <c r="C307" t="s">
        <v>343</v>
      </c>
      <c r="D307" t="s">
        <v>34</v>
      </c>
    </row>
    <row r="308" spans="1:4" x14ac:dyDescent="0.45">
      <c r="A308" t="str">
        <f>HYPERLINK("https://leetcode.com/problems/power-of-three", "326. Power of Three")</f>
        <v>326. Power of Three</v>
      </c>
      <c r="B308" t="s">
        <v>4</v>
      </c>
      <c r="C308" t="s">
        <v>344</v>
      </c>
      <c r="D308" t="s">
        <v>264</v>
      </c>
    </row>
    <row r="309" spans="1:4" x14ac:dyDescent="0.45">
      <c r="A309" t="str">
        <f>HYPERLINK("https://leetcode.com/problems/sender-with-largest-word-count", "2284. Sender With Largest Word Count")</f>
        <v>2284. Sender With Largest Word Count</v>
      </c>
      <c r="B309" t="s">
        <v>7</v>
      </c>
      <c r="C309" t="s">
        <v>345</v>
      </c>
      <c r="D309" t="s">
        <v>44</v>
      </c>
    </row>
    <row r="310" spans="1:4" x14ac:dyDescent="0.45">
      <c r="A310" t="str">
        <f>HYPERLINK("https://leetcode.com/problems/reconstruct-itinerary", "332. Reconstruct Itinerary")</f>
        <v>332. Reconstruct Itinerary</v>
      </c>
      <c r="B310" t="s">
        <v>12</v>
      </c>
      <c r="C310" t="s">
        <v>346</v>
      </c>
      <c r="D310" t="s">
        <v>74</v>
      </c>
    </row>
    <row r="311" spans="1:4" x14ac:dyDescent="0.45">
      <c r="A311" t="str">
        <f>HYPERLINK("https://leetcode.com/problems/flatten-nested-list-iterator", "341. Flatten Nested List Iterator")</f>
        <v>341. Flatten Nested List Iterator</v>
      </c>
      <c r="B311" t="s">
        <v>7</v>
      </c>
      <c r="C311" t="s">
        <v>347</v>
      </c>
      <c r="D311" t="s">
        <v>348</v>
      </c>
    </row>
    <row r="312" spans="1:4" x14ac:dyDescent="0.45">
      <c r="A312" t="str">
        <f>HYPERLINK("https://leetcode.com/problems/android-unlock-patterns", "351. Android Unlock Patterns")</f>
        <v>351. Android Unlock Patterns</v>
      </c>
      <c r="B312" t="s">
        <v>7</v>
      </c>
      <c r="C312" t="s">
        <v>28</v>
      </c>
      <c r="D312" t="s">
        <v>44</v>
      </c>
    </row>
    <row r="313" spans="1:4" x14ac:dyDescent="0.45">
      <c r="A313" t="str">
        <f>HYPERLINK("https://leetcode.com/problems/count-numbers-with-unique-digits", "357. Count Numbers with Unique Digits")</f>
        <v>357. Count Numbers with Unique Digits</v>
      </c>
      <c r="B313" t="s">
        <v>7</v>
      </c>
      <c r="C313" t="s">
        <v>349</v>
      </c>
      <c r="D313" t="s">
        <v>44</v>
      </c>
    </row>
    <row r="314" spans="1:4" x14ac:dyDescent="0.45">
      <c r="A314" t="str">
        <f>HYPERLINK("https://leetcode.com/problems/sort-transformed-array", "360. Sort Transformed Array")</f>
        <v>360. Sort Transformed Array</v>
      </c>
      <c r="B314" t="s">
        <v>7</v>
      </c>
      <c r="C314" t="s">
        <v>89</v>
      </c>
      <c r="D314" t="s">
        <v>350</v>
      </c>
    </row>
    <row r="315" spans="1:4" x14ac:dyDescent="0.45">
      <c r="A315" t="str">
        <f>HYPERLINK("https://leetcode.com/problems/design-hit-counter", "362. Design Hit Counter")</f>
        <v>362. Design Hit Counter</v>
      </c>
      <c r="B315" t="s">
        <v>7</v>
      </c>
      <c r="C315" t="s">
        <v>190</v>
      </c>
      <c r="D315" t="s">
        <v>351</v>
      </c>
    </row>
    <row r="316" spans="1:4" x14ac:dyDescent="0.45">
      <c r="A316" t="str">
        <f>HYPERLINK("https://leetcode.com/problems/combination-sum-iv", "377. Combination Sum IV")</f>
        <v>377. Combination Sum IV</v>
      </c>
      <c r="B316" t="s">
        <v>7</v>
      </c>
      <c r="C316" t="s">
        <v>352</v>
      </c>
      <c r="D316" t="s">
        <v>44</v>
      </c>
    </row>
    <row r="317" spans="1:4" x14ac:dyDescent="0.45">
      <c r="A317" t="str">
        <f>HYPERLINK("https://leetcode.com/problems/linked-list-random-node", "382. Linked List Random Node")</f>
        <v>382. Linked List Random Node</v>
      </c>
      <c r="B317" t="s">
        <v>7</v>
      </c>
      <c r="C317" t="s">
        <v>353</v>
      </c>
      <c r="D317" t="s">
        <v>44</v>
      </c>
    </row>
    <row r="318" spans="1:4" x14ac:dyDescent="0.45">
      <c r="A318" t="str">
        <f>HYPERLINK("https://leetcode.com/problems/find-the-difference", "389. Find the Difference")</f>
        <v>389. Find the Difference</v>
      </c>
      <c r="B318" t="s">
        <v>4</v>
      </c>
      <c r="C318" t="s">
        <v>354</v>
      </c>
      <c r="D318" t="s">
        <v>309</v>
      </c>
    </row>
    <row r="319" spans="1:4" x14ac:dyDescent="0.45">
      <c r="A319" t="str">
        <f>HYPERLINK("https://leetcode.com/problems/utf-8-validation", "393. UTF-8 Validation")</f>
        <v>393. UTF-8 Validation</v>
      </c>
      <c r="B319" t="s">
        <v>7</v>
      </c>
      <c r="C319" t="s">
        <v>311</v>
      </c>
      <c r="D319" t="s">
        <v>34</v>
      </c>
    </row>
    <row r="320" spans="1:4" x14ac:dyDescent="0.45">
      <c r="A320" t="str">
        <f>HYPERLINK("https://leetcode.com/problems/binary-watch", "401. Binary Watch")</f>
        <v>401. Binary Watch</v>
      </c>
      <c r="B320" t="s">
        <v>4</v>
      </c>
      <c r="C320" t="s">
        <v>21</v>
      </c>
      <c r="D320" t="s">
        <v>44</v>
      </c>
    </row>
    <row r="321" spans="1:4" x14ac:dyDescent="0.45">
      <c r="A321" t="str">
        <f>HYPERLINK("https://leetcode.com/problems/queue-reconstruction-by-height", "406. Queue Reconstruction by Height")</f>
        <v>406. Queue Reconstruction by Height</v>
      </c>
      <c r="B321" t="s">
        <v>7</v>
      </c>
      <c r="C321" t="s">
        <v>355</v>
      </c>
      <c r="D321" t="s">
        <v>44</v>
      </c>
    </row>
    <row r="322" spans="1:4" x14ac:dyDescent="0.45">
      <c r="A322" t="str">
        <f>HYPERLINK("https://leetcode.com/problems/valid-word-abbreviation", "408. Valid Word Abbreviation")</f>
        <v>408. Valid Word Abbreviation</v>
      </c>
      <c r="B322" t="s">
        <v>4</v>
      </c>
      <c r="C322" t="s">
        <v>118</v>
      </c>
      <c r="D322" t="s">
        <v>68</v>
      </c>
    </row>
    <row r="323" spans="1:4" x14ac:dyDescent="0.45">
      <c r="A323" t="str">
        <f>HYPERLINK("https://leetcode.com/problems/add-strings", "415. Add Strings")</f>
        <v>415. Add Strings</v>
      </c>
      <c r="B323" t="s">
        <v>4</v>
      </c>
      <c r="C323" t="s">
        <v>356</v>
      </c>
      <c r="D323" t="s">
        <v>54</v>
      </c>
    </row>
    <row r="324" spans="1:4" x14ac:dyDescent="0.45">
      <c r="A324" t="str">
        <f>HYPERLINK("https://leetcode.com/problems/maximum-xor-of-two-numbers-in-an-array", "421. Maximum XOR of Two Numbers in an Array")</f>
        <v>421. Maximum XOR of Two Numbers in an Array</v>
      </c>
      <c r="B324" t="s">
        <v>7</v>
      </c>
      <c r="C324" t="s">
        <v>180</v>
      </c>
      <c r="D324" t="s">
        <v>44</v>
      </c>
    </row>
    <row r="325" spans="1:4" x14ac:dyDescent="0.45">
      <c r="A325" t="str">
        <f>HYPERLINK("https://leetcode.com/problems/find-all-numbers-disappeared-in-an-array", "448. Find All Numbers Disappeared in an Array")</f>
        <v>448. Find All Numbers Disappeared in an Array</v>
      </c>
      <c r="B325" t="s">
        <v>4</v>
      </c>
      <c r="C325" t="s">
        <v>357</v>
      </c>
      <c r="D325" t="s">
        <v>54</v>
      </c>
    </row>
    <row r="326" spans="1:4" x14ac:dyDescent="0.45">
      <c r="A326" t="str">
        <f>HYPERLINK("https://leetcode.com/problems/predict-the-winner", "486. Predict the Winner")</f>
        <v>486. Predict the Winner</v>
      </c>
      <c r="B326" t="s">
        <v>7</v>
      </c>
      <c r="C326" t="s">
        <v>293</v>
      </c>
      <c r="D326" t="s">
        <v>91</v>
      </c>
    </row>
    <row r="327" spans="1:4" x14ac:dyDescent="0.45">
      <c r="A327" t="str">
        <f>HYPERLINK("https://leetcode.com/problems/height-of-binary-tree-after-subtree-removal-queries", "2458. Height of Binary Tree After Subtree Removal Queries")</f>
        <v>2458. Height of Binary Tree After Subtree Removal Queries</v>
      </c>
      <c r="B327" t="s">
        <v>12</v>
      </c>
      <c r="C327" t="s">
        <v>187</v>
      </c>
      <c r="D327" t="s">
        <v>44</v>
      </c>
    </row>
    <row r="328" spans="1:4" x14ac:dyDescent="0.45">
      <c r="A328" t="str">
        <f>HYPERLINK("https://leetcode.com/problems/next-greater-element-ii", "503. Next Greater Element II")</f>
        <v>503. Next Greater Element II</v>
      </c>
      <c r="B328" t="s">
        <v>7</v>
      </c>
      <c r="C328" t="s">
        <v>358</v>
      </c>
      <c r="D328" t="s">
        <v>359</v>
      </c>
    </row>
    <row r="329" spans="1:4" x14ac:dyDescent="0.45">
      <c r="A329" t="str">
        <f>HYPERLINK("https://leetcode.com/problems/reverse-string-ii", "541. Reverse String II")</f>
        <v>541. Reverse String II</v>
      </c>
      <c r="B329" t="s">
        <v>4</v>
      </c>
      <c r="C329" t="s">
        <v>26</v>
      </c>
      <c r="D329" t="s">
        <v>309</v>
      </c>
    </row>
    <row r="330" spans="1:4" x14ac:dyDescent="0.45">
      <c r="A330" t="str">
        <f>HYPERLINK("https://leetcode.com/problems/student-attendance-record-ii", "552. Student Attendance Record II")</f>
        <v>552. Student Attendance Record II</v>
      </c>
      <c r="B330" t="s">
        <v>12</v>
      </c>
      <c r="C330" t="s">
        <v>360</v>
      </c>
      <c r="D330" t="s">
        <v>44</v>
      </c>
    </row>
    <row r="331" spans="1:4" x14ac:dyDescent="0.45">
      <c r="A331" t="str">
        <f>HYPERLINK("https://leetcode.com/problems/shortest-unsorted-continuous-subarray", "581. Shortest Unsorted Continuous Subarray")</f>
        <v>581. Shortest Unsorted Continuous Subarray</v>
      </c>
      <c r="B331" t="s">
        <v>7</v>
      </c>
      <c r="C331" t="s">
        <v>361</v>
      </c>
      <c r="D331" t="s">
        <v>44</v>
      </c>
    </row>
    <row r="332" spans="1:4" x14ac:dyDescent="0.45">
      <c r="A332" t="str">
        <f>HYPERLINK("https://leetcode.com/problems/check-if-there-is-a-path-with-equal-number-of-0's-and-1's", "2510. Check if There is a Path With Equal Number of 0's And 1's")</f>
        <v>2510. Check if There is a Path With Equal Number of 0's And 1's</v>
      </c>
      <c r="B332" t="s">
        <v>7</v>
      </c>
      <c r="C332" t="s">
        <v>362</v>
      </c>
      <c r="D332" t="s">
        <v>44</v>
      </c>
    </row>
    <row r="333" spans="1:4" x14ac:dyDescent="0.45">
      <c r="A333" t="str">
        <f>HYPERLINK("https://leetcode.com/problems/lexicographically-smallest-beautiful-string", "2663. Lexicographically Smallest Beautiful String")</f>
        <v>2663. Lexicographically Smallest Beautiful String</v>
      </c>
      <c r="B333" t="s">
        <v>12</v>
      </c>
      <c r="C333" t="s">
        <v>363</v>
      </c>
      <c r="D333" t="s">
        <v>61</v>
      </c>
    </row>
    <row r="334" spans="1:4" x14ac:dyDescent="0.45">
      <c r="A334" t="str">
        <f>HYPERLINK("https://leetcode.com/problems/repeated-string-match", "686. Repeated String Match")</f>
        <v>686. Repeated String Match</v>
      </c>
      <c r="B334" t="s">
        <v>7</v>
      </c>
      <c r="C334" t="s">
        <v>364</v>
      </c>
      <c r="D334" t="s">
        <v>44</v>
      </c>
    </row>
    <row r="335" spans="1:4" x14ac:dyDescent="0.45">
      <c r="A335" t="str">
        <f>HYPERLINK("https://leetcode.com/problems/maximum-sum-of-3-non-overlapping-subarrays", "689. Maximum Sum of 3 Non-Overlapping Subarrays")</f>
        <v>689. Maximum Sum of 3 Non-Overlapping Subarrays</v>
      </c>
      <c r="B335" t="s">
        <v>12</v>
      </c>
      <c r="C335" t="s">
        <v>365</v>
      </c>
      <c r="D335" t="s">
        <v>303</v>
      </c>
    </row>
    <row r="336" spans="1:4" x14ac:dyDescent="0.45">
      <c r="A336" t="str">
        <f>HYPERLINK("https://leetcode.com/problems/minimum-window-subsequence", "727. Minimum Window Subsequence")</f>
        <v>727. Minimum Window Subsequence</v>
      </c>
      <c r="B336" t="s">
        <v>12</v>
      </c>
      <c r="C336" t="s">
        <v>366</v>
      </c>
      <c r="D336" t="s">
        <v>44</v>
      </c>
    </row>
    <row r="337" spans="1:4" x14ac:dyDescent="0.45">
      <c r="A337" t="str">
        <f>HYPERLINK("https://leetcode.com/problems/my-calendar-i", "729. My Calendar I")</f>
        <v>729. My Calendar I</v>
      </c>
      <c r="B337" t="s">
        <v>7</v>
      </c>
      <c r="C337" t="s">
        <v>172</v>
      </c>
      <c r="D337" t="s">
        <v>367</v>
      </c>
    </row>
    <row r="338" spans="1:4" x14ac:dyDescent="0.45">
      <c r="A338" t="str">
        <f>HYPERLINK("https://leetcode.com/problems/max-chunks-to-make-sorted", "769. Max Chunks To Make Sorted")</f>
        <v>769. Max Chunks To Make Sorted</v>
      </c>
      <c r="B338" t="s">
        <v>7</v>
      </c>
      <c r="C338" t="s">
        <v>64</v>
      </c>
      <c r="D338" t="s">
        <v>91</v>
      </c>
    </row>
    <row r="339" spans="1:4" x14ac:dyDescent="0.45">
      <c r="A339" t="str">
        <f>HYPERLINK("https://leetcode.com/problems/swap-adjacent-in-lr-string", "777. Swap Adjacent in LR String")</f>
        <v>777. Swap Adjacent in LR String</v>
      </c>
      <c r="B339" t="s">
        <v>7</v>
      </c>
      <c r="C339" t="s">
        <v>92</v>
      </c>
      <c r="D339" t="s">
        <v>44</v>
      </c>
    </row>
    <row r="340" spans="1:4" x14ac:dyDescent="0.45">
      <c r="A340" t="str">
        <f>HYPERLINK("https://leetcode.com/problems/k-th-symbol-in-grammar", "779. K-th Symbol in Grammar")</f>
        <v>779. K-th Symbol in Grammar</v>
      </c>
      <c r="B340" t="s">
        <v>7</v>
      </c>
      <c r="C340" t="s">
        <v>368</v>
      </c>
      <c r="D340" t="s">
        <v>369</v>
      </c>
    </row>
    <row r="341" spans="1:4" x14ac:dyDescent="0.45">
      <c r="A341" t="str">
        <f>HYPERLINK("https://leetcode.com/problems/domino-and-tromino-tiling", "790. Domino and Tromino Tiling")</f>
        <v>790. Domino and Tromino Tiling</v>
      </c>
      <c r="B341" t="s">
        <v>7</v>
      </c>
      <c r="C341" t="s">
        <v>227</v>
      </c>
      <c r="D341" t="s">
        <v>44</v>
      </c>
    </row>
    <row r="342" spans="1:4" x14ac:dyDescent="0.45">
      <c r="A342" t="str">
        <f>HYPERLINK("https://leetcode.com/problems/find-eventual-safe-states", "802. Find Eventual Safe States")</f>
        <v>802. Find Eventual Safe States</v>
      </c>
      <c r="B342" t="s">
        <v>7</v>
      </c>
      <c r="C342" t="s">
        <v>84</v>
      </c>
      <c r="D342" t="s">
        <v>11</v>
      </c>
    </row>
    <row r="343" spans="1:4" x14ac:dyDescent="0.45">
      <c r="A343" t="str">
        <f>HYPERLINK("https://leetcode.com/problems/continuous-subarrays", "2762. Continuous Subarrays")</f>
        <v>2762. Continuous Subarrays</v>
      </c>
      <c r="B343" t="s">
        <v>7</v>
      </c>
      <c r="C343" t="s">
        <v>370</v>
      </c>
      <c r="D343" t="s">
        <v>234</v>
      </c>
    </row>
    <row r="344" spans="1:4" x14ac:dyDescent="0.45">
      <c r="A344" t="str">
        <f>HYPERLINK("https://leetcode.com/problems/bus-routes", "815. Bus Routes")</f>
        <v>815. Bus Routes</v>
      </c>
      <c r="B344" t="s">
        <v>12</v>
      </c>
      <c r="C344" t="s">
        <v>274</v>
      </c>
      <c r="D344" t="s">
        <v>371</v>
      </c>
    </row>
    <row r="345" spans="1:4" x14ac:dyDescent="0.45">
      <c r="A345" t="str">
        <f>HYPERLINK("https://leetcode.com/problems/race-car", "818. Race Car")</f>
        <v>818. Race Car</v>
      </c>
      <c r="B345" t="s">
        <v>12</v>
      </c>
      <c r="C345" t="s">
        <v>321</v>
      </c>
      <c r="D345" t="s">
        <v>44</v>
      </c>
    </row>
    <row r="346" spans="1:4" x14ac:dyDescent="0.45">
      <c r="A346" t="str">
        <f>HYPERLINK("https://leetcode.com/problems/maximum-beauty-of-an-array-after-applying-operation", "2779. Maximum Beauty of an Array After Applying Operation")</f>
        <v>2779. Maximum Beauty of an Array After Applying Operation</v>
      </c>
      <c r="B346" t="s">
        <v>7</v>
      </c>
      <c r="C346" t="s">
        <v>370</v>
      </c>
      <c r="D346" t="s">
        <v>44</v>
      </c>
    </row>
    <row r="347" spans="1:4" x14ac:dyDescent="0.45">
      <c r="A347" t="str">
        <f>HYPERLINK("https://leetcode.com/problems/shortest-path-visiting-all-nodes", "847. Shortest Path Visiting All Nodes")</f>
        <v>847. Shortest Path Visiting All Nodes</v>
      </c>
      <c r="B347" t="s">
        <v>12</v>
      </c>
      <c r="C347" t="s">
        <v>297</v>
      </c>
      <c r="D347" t="s">
        <v>44</v>
      </c>
    </row>
    <row r="348" spans="1:4" x14ac:dyDescent="0.45">
      <c r="A348" t="str">
        <f>HYPERLINK("https://leetcode.com/problems/peak-index-in-a-mountain-array", "852. Peak Index in a Mountain Array")</f>
        <v>852. Peak Index in a Mountain Array</v>
      </c>
      <c r="B348" t="s">
        <v>7</v>
      </c>
      <c r="C348" t="s">
        <v>221</v>
      </c>
      <c r="D348" t="s">
        <v>11</v>
      </c>
    </row>
    <row r="349" spans="1:4" x14ac:dyDescent="0.45">
      <c r="A349" t="str">
        <f>HYPERLINK("https://leetcode.com/problems/transpose-matrix", "867. Transpose Matrix")</f>
        <v>867. Transpose Matrix</v>
      </c>
      <c r="B349" t="s">
        <v>4</v>
      </c>
      <c r="C349" t="s">
        <v>372</v>
      </c>
      <c r="D349" t="s">
        <v>34</v>
      </c>
    </row>
    <row r="350" spans="1:4" x14ac:dyDescent="0.45">
      <c r="A350" t="str">
        <f>HYPERLINK("https://leetcode.com/problems/word-subsets", "916. Word Subsets")</f>
        <v>916. Word Subsets</v>
      </c>
      <c r="B350" t="s">
        <v>7</v>
      </c>
      <c r="C350" t="s">
        <v>360</v>
      </c>
      <c r="D350" t="s">
        <v>11</v>
      </c>
    </row>
    <row r="351" spans="1:4" x14ac:dyDescent="0.45">
      <c r="A351" t="str">
        <f>HYPERLINK("https://leetcode.com/problems/unique-email-addresses", "929. Unique Email Addresses")</f>
        <v>929. Unique Email Addresses</v>
      </c>
      <c r="B351" t="s">
        <v>4</v>
      </c>
      <c r="C351" t="s">
        <v>235</v>
      </c>
      <c r="D351" t="s">
        <v>44</v>
      </c>
    </row>
    <row r="352" spans="1:4" x14ac:dyDescent="0.45">
      <c r="A352" t="str">
        <f>HYPERLINK("https://leetcode.com/problems/knight-dialer", "935. Knight Dialer")</f>
        <v>935. Knight Dialer</v>
      </c>
      <c r="B352" t="s">
        <v>7</v>
      </c>
      <c r="C352" t="s">
        <v>373</v>
      </c>
      <c r="D352" t="s">
        <v>44</v>
      </c>
    </row>
    <row r="353" spans="1:4" x14ac:dyDescent="0.45">
      <c r="A353" t="str">
        <f>HYPERLINK("https://leetcode.com/problems/duplicate-zeros", "1089. Duplicate Zeros")</f>
        <v>1089. Duplicate Zeros</v>
      </c>
      <c r="B353" t="s">
        <v>4</v>
      </c>
      <c r="C353" t="s">
        <v>374</v>
      </c>
      <c r="D353" t="s">
        <v>44</v>
      </c>
    </row>
    <row r="354" spans="1:4" x14ac:dyDescent="0.45">
      <c r="A354" t="str">
        <f>HYPERLINK("https://leetcode.com/problems/filling-bookcase-shelves", "1105. Filling Bookcase Shelves")</f>
        <v>1105. Filling Bookcase Shelves</v>
      </c>
      <c r="B354" t="s">
        <v>7</v>
      </c>
      <c r="C354" t="s">
        <v>375</v>
      </c>
      <c r="D354" t="s">
        <v>44</v>
      </c>
    </row>
    <row r="355" spans="1:4" x14ac:dyDescent="0.45">
      <c r="A355" t="str">
        <f>HYPERLINK("https://leetcode.com/problems/find-longest-special-substring-that-occurs-thrice-i", "2981. Find Longest Special Substring That Occurs Thrice I")</f>
        <v>2981. Find Longest Special Substring That Occurs Thrice I</v>
      </c>
      <c r="B355" t="s">
        <v>7</v>
      </c>
      <c r="C355" t="s">
        <v>141</v>
      </c>
      <c r="D355" t="s">
        <v>309</v>
      </c>
    </row>
    <row r="356" spans="1:4" x14ac:dyDescent="0.45">
      <c r="A356" t="str">
        <f>HYPERLINK("https://leetcode.com/problems/remove-sub-folders-from-the-filesystem", "1233. Remove Sub-Folders from the Filesystem")</f>
        <v>1233. Remove Sub-Folders from the Filesystem</v>
      </c>
      <c r="B356" t="s">
        <v>7</v>
      </c>
      <c r="C356" t="s">
        <v>376</v>
      </c>
      <c r="D356" t="s">
        <v>68</v>
      </c>
    </row>
    <row r="357" spans="1:4" x14ac:dyDescent="0.45">
      <c r="A357" t="str">
        <f>HYPERLINK("https://leetcode.com/problems/check-if-n-and-its-double-exist", "1346. Check If N and Its Double Exist")</f>
        <v>1346. Check If N and Its Double Exist</v>
      </c>
      <c r="B357" t="s">
        <v>4</v>
      </c>
      <c r="C357" t="s">
        <v>377</v>
      </c>
      <c r="D357" t="s">
        <v>63</v>
      </c>
    </row>
    <row r="358" spans="1:4" x14ac:dyDescent="0.45">
      <c r="A358" t="str">
        <f>HYPERLINK("https://leetcode.com/problems/minimum-cost-to-make-at-least-one-valid-path-in-a-grid", "1368. Minimum Cost to Make at Least One Valid Path in a Grid")</f>
        <v>1368. Minimum Cost to Make at Least One Valid Path in a Grid</v>
      </c>
      <c r="B358" t="s">
        <v>12</v>
      </c>
      <c r="C358" t="s">
        <v>378</v>
      </c>
      <c r="D358" t="s">
        <v>68</v>
      </c>
    </row>
    <row r="359" spans="1:4" x14ac:dyDescent="0.45">
      <c r="A359" t="str">
        <f>HYPERLINK("https://leetcode.com/problems/maximum-score-after-splitting-a-string", "1422. Maximum Score After Splitting a String")</f>
        <v>1422. Maximum Score After Splitting a String</v>
      </c>
      <c r="B359" t="s">
        <v>4</v>
      </c>
      <c r="C359" t="s">
        <v>379</v>
      </c>
      <c r="D359" t="s">
        <v>68</v>
      </c>
    </row>
    <row r="360" spans="1:4" x14ac:dyDescent="0.45">
      <c r="A360" t="str">
        <f>HYPERLINK("https://leetcode.com/problems/minimum-number-of-increments-on-subarrays-to-form-a-target-array", "1526. Minimum Number of Increments on Subarrays to Form a Target Array")</f>
        <v>1526. Minimum Number of Increments on Subarrays to Form a Target Array</v>
      </c>
      <c r="B360" t="s">
        <v>12</v>
      </c>
      <c r="C360" t="s">
        <v>380</v>
      </c>
      <c r="D360" t="s">
        <v>61</v>
      </c>
    </row>
    <row r="361" spans="1:4" x14ac:dyDescent="0.45">
      <c r="A361" t="str">
        <f>HYPERLINK("https://leetcode.com/problems/split-a-string-into-the-max-number-of-unique-substrings", "1593. Split a String Into the Max Number of Unique Substrings")</f>
        <v>1593. Split a String Into the Max Number of Unique Substrings</v>
      </c>
      <c r="B361" t="s">
        <v>7</v>
      </c>
      <c r="C361" t="s">
        <v>381</v>
      </c>
      <c r="D361" t="s">
        <v>214</v>
      </c>
    </row>
    <row r="362" spans="1:4" x14ac:dyDescent="0.45">
      <c r="A362" t="str">
        <f>HYPERLINK("https://leetcode.com/problems/arithmetic-subarrays", "1630. Arithmetic Subarrays")</f>
        <v>1630. Arithmetic Subarrays</v>
      </c>
      <c r="B362" t="s">
        <v>7</v>
      </c>
      <c r="C362" t="s">
        <v>382</v>
      </c>
      <c r="D362" t="s">
        <v>44</v>
      </c>
    </row>
    <row r="363" spans="1:4" x14ac:dyDescent="0.45">
      <c r="A363" t="str">
        <f>HYPERLINK("https://leetcode.com/problems/path-with-minimum-effort", "1631. Path With Minimum Effort")</f>
        <v>1631. Path With Minimum Effort</v>
      </c>
      <c r="B363" t="s">
        <v>7</v>
      </c>
      <c r="C363" t="s">
        <v>373</v>
      </c>
      <c r="D363" t="s">
        <v>91</v>
      </c>
    </row>
    <row r="364" spans="1:4" x14ac:dyDescent="0.45">
      <c r="A364" t="str">
        <f>HYPERLINK("https://leetcode.com/problems/minimum-operations-to-reduce-x-to-zero", "1658. Minimum Operations to Reduce X to Zero")</f>
        <v>1658. Minimum Operations to Reduce X to Zero</v>
      </c>
      <c r="B364" t="s">
        <v>7</v>
      </c>
      <c r="C364" t="s">
        <v>383</v>
      </c>
      <c r="D364" t="s">
        <v>44</v>
      </c>
    </row>
    <row r="365" spans="1:4" x14ac:dyDescent="0.45">
      <c r="A365" t="str">
        <f>HYPERLINK("https://leetcode.com/problems/richest-customer-wealth", "1672. Richest Customer Wealth")</f>
        <v>1672. Richest Customer Wealth</v>
      </c>
      <c r="B365" t="s">
        <v>4</v>
      </c>
      <c r="C365" t="s">
        <v>384</v>
      </c>
      <c r="D365" t="s">
        <v>44</v>
      </c>
    </row>
    <row r="366" spans="1:4" x14ac:dyDescent="0.45">
      <c r="A366" t="str">
        <f>HYPERLINK("https://leetcode.com/problems/find-the-most-competitive-subsequence", "1673. Find the Most Competitive Subsequence")</f>
        <v>1673. Find the Most Competitive Subsequence</v>
      </c>
      <c r="B366" t="s">
        <v>7</v>
      </c>
      <c r="C366" t="s">
        <v>385</v>
      </c>
      <c r="D366" t="s">
        <v>44</v>
      </c>
    </row>
    <row r="367" spans="1:4" x14ac:dyDescent="0.45">
      <c r="A367" t="str">
        <f>HYPERLINK("https://leetcode.com/problems/minimum-number-of-operations-to-move-all-balls-to-each-box", "1769. Minimum Number of Operations to Move All Balls to Each Box")</f>
        <v>1769. Minimum Number of Operations to Move All Balls to Each Box</v>
      </c>
      <c r="B367" t="s">
        <v>7</v>
      </c>
      <c r="C367" t="s">
        <v>386</v>
      </c>
      <c r="D367" t="s">
        <v>11</v>
      </c>
    </row>
    <row r="368" spans="1:4" x14ac:dyDescent="0.45">
      <c r="A368" t="str">
        <f>HYPERLINK("https://leetcode.com/problems/evaluate-the-bracket-pairs-of-a-string", "1807. Evaluate the Bracket Pairs of a String")</f>
        <v>1807. Evaluate the Bracket Pairs of a String</v>
      </c>
      <c r="B368" t="s">
        <v>7</v>
      </c>
      <c r="C368" t="s">
        <v>387</v>
      </c>
      <c r="D368" t="s">
        <v>44</v>
      </c>
    </row>
    <row r="369" spans="1:4" x14ac:dyDescent="0.45">
      <c r="A369" t="str">
        <f>HYPERLINK("https://leetcode.com/problems/minimum-interval-to-include-each-query", "1851. Minimum Interval to Include Each Query")</f>
        <v>1851. Minimum Interval to Include Each Query</v>
      </c>
      <c r="B369" t="s">
        <v>12</v>
      </c>
      <c r="C369" t="s">
        <v>26</v>
      </c>
      <c r="D369" t="s">
        <v>44</v>
      </c>
    </row>
    <row r="370" spans="1:4" x14ac:dyDescent="0.45">
      <c r="A370" t="str">
        <f>HYPERLINK("https://leetcode.com/problems/consecutive-numbers", "180. Consecutive Numbers")</f>
        <v>180. Consecutive Numbers</v>
      </c>
      <c r="B370" t="s">
        <v>7</v>
      </c>
      <c r="C370" t="s">
        <v>388</v>
      </c>
      <c r="D370" t="s">
        <v>61</v>
      </c>
    </row>
    <row r="371" spans="1:4" x14ac:dyDescent="0.45">
      <c r="A371" t="str">
        <f>HYPERLINK("https://leetcode.com/problems/sort-an-array", "912. Sort an Array")</f>
        <v>912. Sort an Array</v>
      </c>
      <c r="B371" t="s">
        <v>7</v>
      </c>
      <c r="C371" t="s">
        <v>89</v>
      </c>
      <c r="D371" t="s">
        <v>11</v>
      </c>
    </row>
    <row r="372" spans="1:4" x14ac:dyDescent="0.45">
      <c r="A372" t="str">
        <f>HYPERLINK("https://leetcode.com/problems/longest-common-subsequence", "1143. Longest Common Subsequence")</f>
        <v>1143. Longest Common Subsequence</v>
      </c>
      <c r="B372" t="s">
        <v>7</v>
      </c>
      <c r="C372" t="s">
        <v>345</v>
      </c>
      <c r="D372" t="s">
        <v>91</v>
      </c>
    </row>
    <row r="373" spans="1:4" x14ac:dyDescent="0.45">
      <c r="A373" t="str">
        <f>HYPERLINK("https://leetcode.com/problems/range-sum-of-bst", "938. Range Sum of BST")</f>
        <v>938. Range Sum of BST</v>
      </c>
      <c r="B373" t="s">
        <v>4</v>
      </c>
      <c r="C373" t="s">
        <v>389</v>
      </c>
      <c r="D373" t="s">
        <v>68</v>
      </c>
    </row>
    <row r="374" spans="1:4" x14ac:dyDescent="0.45">
      <c r="A374" t="str">
        <f>HYPERLINK("https://leetcode.com/problems/count-primes", "204. Count Primes")</f>
        <v>204. Count Primes</v>
      </c>
      <c r="B374" t="s">
        <v>7</v>
      </c>
      <c r="C374" t="s">
        <v>260</v>
      </c>
      <c r="D374" t="s">
        <v>11</v>
      </c>
    </row>
    <row r="375" spans="1:4" x14ac:dyDescent="0.45">
      <c r="A375" t="str">
        <f>HYPERLINK("https://leetcode.com/problems/check-if-array-is-sorted-and-rotated", "1752. Check if Array Is Sorted and Rotated")</f>
        <v>1752. Check if Array Is Sorted and Rotated</v>
      </c>
      <c r="B375" t="s">
        <v>4</v>
      </c>
      <c r="C375" t="s">
        <v>258</v>
      </c>
      <c r="D375" t="s">
        <v>11</v>
      </c>
    </row>
    <row r="376" spans="1:4" x14ac:dyDescent="0.45">
      <c r="A376" t="str">
        <f>HYPERLINK("https://leetcode.com/problems/is-subsequence", "392. Is Subsequence")</f>
        <v>392. Is Subsequence</v>
      </c>
      <c r="B376" t="s">
        <v>4</v>
      </c>
      <c r="C376" t="s">
        <v>88</v>
      </c>
      <c r="D376" t="s">
        <v>11</v>
      </c>
    </row>
    <row r="377" spans="1:4" x14ac:dyDescent="0.45">
      <c r="A377" t="str">
        <f>HYPERLINK("https://leetcode.com/problems/fizz-buzz", "412. Fizz Buzz")</f>
        <v>412. Fizz Buzz</v>
      </c>
      <c r="B377" t="s">
        <v>4</v>
      </c>
      <c r="C377" t="s">
        <v>355</v>
      </c>
      <c r="D377" t="s">
        <v>54</v>
      </c>
    </row>
    <row r="378" spans="1:4" x14ac:dyDescent="0.45">
      <c r="A378" t="str">
        <f>HYPERLINK("https://leetcode.com/problems/counter", "2620. Counter")</f>
        <v>2620. Counter</v>
      </c>
      <c r="B378" t="s">
        <v>4</v>
      </c>
      <c r="C378" t="s">
        <v>85</v>
      </c>
      <c r="D378" t="s">
        <v>11</v>
      </c>
    </row>
    <row r="379" spans="1:4" x14ac:dyDescent="0.45">
      <c r="A379" t="str">
        <f>HYPERLINK("https://leetcode.com/problems/excel-sheet-column-title", "168. Excel Sheet Column Title")</f>
        <v>168. Excel Sheet Column Title</v>
      </c>
      <c r="B379" t="s">
        <v>4</v>
      </c>
      <c r="C379" t="s">
        <v>390</v>
      </c>
      <c r="D379" t="s">
        <v>54</v>
      </c>
    </row>
    <row r="380" spans="1:4" x14ac:dyDescent="0.45">
      <c r="A380" t="str">
        <f>HYPERLINK("https://leetcode.com/problems/greatest-common-divisor-of-strings", "1071. Greatest Common Divisor of Strings")</f>
        <v>1071. Greatest Common Divisor of Strings</v>
      </c>
      <c r="B380" t="s">
        <v>4</v>
      </c>
      <c r="C380" t="s">
        <v>374</v>
      </c>
      <c r="D380" t="s">
        <v>54</v>
      </c>
    </row>
    <row r="381" spans="1:4" x14ac:dyDescent="0.45">
      <c r="A381" t="str">
        <f>HYPERLINK("https://leetcode.com/problems/substring-with-concatenation-of-all-words", "30. Substring with Concatenation of All Words")</f>
        <v>30. Substring with Concatenation of All Words</v>
      </c>
      <c r="B381" t="s">
        <v>12</v>
      </c>
      <c r="C381" t="s">
        <v>391</v>
      </c>
      <c r="D381" t="s">
        <v>63</v>
      </c>
    </row>
    <row r="382" spans="1:4" x14ac:dyDescent="0.45">
      <c r="A382" t="str">
        <f>HYPERLINK("https://leetcode.com/problems/concatenation-of-array", "1929. Concatenation of Array")</f>
        <v>1929. Concatenation of Array</v>
      </c>
      <c r="B382" t="s">
        <v>4</v>
      </c>
      <c r="C382" t="s">
        <v>392</v>
      </c>
      <c r="D382" t="s">
        <v>393</v>
      </c>
    </row>
    <row r="383" spans="1:4" x14ac:dyDescent="0.45">
      <c r="A383" t="str">
        <f>HYPERLINK("https://leetcode.com/problems/combine-two-tables", "175. Combine Two Tables")</f>
        <v>175. Combine Two Tables</v>
      </c>
      <c r="B383" t="s">
        <v>4</v>
      </c>
      <c r="C383" t="s">
        <v>394</v>
      </c>
      <c r="D383" t="s">
        <v>91</v>
      </c>
    </row>
    <row r="384" spans="1:4" x14ac:dyDescent="0.45">
      <c r="A384" t="str">
        <f>HYPERLINK("https://leetcode.com/problems/integer-to-english-words", "273. Integer to English Words")</f>
        <v>273. Integer to English Words</v>
      </c>
      <c r="B384" t="s">
        <v>12</v>
      </c>
      <c r="C384" t="s">
        <v>395</v>
      </c>
      <c r="D384" t="s">
        <v>208</v>
      </c>
    </row>
    <row r="385" spans="1:4" x14ac:dyDescent="0.45">
      <c r="A385" t="str">
        <f>HYPERLINK("https://leetcode.com/problems/vertical-order-traversal-of-a-binary-tree", "987. Vertical Order Traversal of a Binary Tree")</f>
        <v>987. Vertical Order Traversal of a Binary Tree</v>
      </c>
      <c r="B385" t="s">
        <v>12</v>
      </c>
      <c r="C385" t="s">
        <v>396</v>
      </c>
      <c r="D385" t="s">
        <v>397</v>
      </c>
    </row>
    <row r="386" spans="1:4" x14ac:dyDescent="0.45">
      <c r="A386" t="str">
        <f>HYPERLINK("https://leetcode.com/problems/fix-names-in-a-table", "1667. Fix Names in a Table")</f>
        <v>1667. Fix Names in a Table</v>
      </c>
      <c r="B386" t="s">
        <v>4</v>
      </c>
      <c r="C386" t="s">
        <v>373</v>
      </c>
      <c r="D386" t="s">
        <v>309</v>
      </c>
    </row>
    <row r="387" spans="1:4" x14ac:dyDescent="0.45">
      <c r="A387" t="str">
        <f>HYPERLINK("https://leetcode.com/problems/sum-of-two-integers", "371. Sum of Two Integers")</f>
        <v>371. Sum of Two Integers</v>
      </c>
      <c r="B387" t="s">
        <v>7</v>
      </c>
      <c r="C387" t="s">
        <v>171</v>
      </c>
      <c r="D387" t="s">
        <v>234</v>
      </c>
    </row>
    <row r="388" spans="1:4" x14ac:dyDescent="0.45">
      <c r="A388" t="str">
        <f>HYPERLINK("https://leetcode.com/problems/the-kth-factor-of-n", "1492. The kth Factor of n")</f>
        <v>1492. The kth Factor of n</v>
      </c>
      <c r="B388" t="s">
        <v>7</v>
      </c>
      <c r="C388" t="s">
        <v>398</v>
      </c>
      <c r="D388" t="s">
        <v>61</v>
      </c>
    </row>
    <row r="389" spans="1:4" x14ac:dyDescent="0.45">
      <c r="A389" t="str">
        <f>HYPERLINK("https://leetcode.com/problems/combination-sum-ii", "40. Combination Sum II")</f>
        <v>40. Combination Sum II</v>
      </c>
      <c r="B389" t="s">
        <v>7</v>
      </c>
      <c r="C389" t="s">
        <v>15</v>
      </c>
      <c r="D389" t="s">
        <v>50</v>
      </c>
    </row>
    <row r="390" spans="1:4" x14ac:dyDescent="0.45">
      <c r="A390" t="str">
        <f>HYPERLINK("https://leetcode.com/problems/longest-substring-with-at-least-k-repeating-characters", "395. Longest Substring with At Least K Repeating Characters")</f>
        <v>395. Longest Substring with At Least K Repeating Characters</v>
      </c>
      <c r="B390" t="s">
        <v>7</v>
      </c>
      <c r="C390" t="s">
        <v>399</v>
      </c>
      <c r="D390" t="s">
        <v>68</v>
      </c>
    </row>
    <row r="391" spans="1:4" x14ac:dyDescent="0.45">
      <c r="A391" t="str">
        <f>HYPERLINK("https://leetcode.com/problems/binary-subarrays-with-sum", "930. Binary Subarrays With Sum")</f>
        <v>930. Binary Subarrays With Sum</v>
      </c>
      <c r="B391" t="s">
        <v>7</v>
      </c>
      <c r="C391" t="s">
        <v>297</v>
      </c>
      <c r="D391" t="s">
        <v>68</v>
      </c>
    </row>
    <row r="392" spans="1:4" x14ac:dyDescent="0.45">
      <c r="A392" t="str">
        <f>HYPERLINK("https://leetcode.com/problems/stone-game", "877. Stone Game")</f>
        <v>877. Stone Game</v>
      </c>
      <c r="B392" t="s">
        <v>7</v>
      </c>
      <c r="C392" t="s">
        <v>400</v>
      </c>
      <c r="D392" t="s">
        <v>44</v>
      </c>
    </row>
    <row r="393" spans="1:4" x14ac:dyDescent="0.45">
      <c r="A393" t="str">
        <f>HYPERLINK("https://leetcode.com/problems/majority-element-ii", "229. Majority Element II")</f>
        <v>229. Majority Element II</v>
      </c>
      <c r="B393" t="s">
        <v>7</v>
      </c>
      <c r="C393" t="s">
        <v>401</v>
      </c>
      <c r="D393" t="s">
        <v>54</v>
      </c>
    </row>
    <row r="394" spans="1:4" x14ac:dyDescent="0.45">
      <c r="A394" t="str">
        <f>HYPERLINK("https://leetcode.com/problems/decode-ways", "91. Decode Ways")</f>
        <v>91. Decode Ways</v>
      </c>
      <c r="B394" t="s">
        <v>7</v>
      </c>
      <c r="C394" t="s">
        <v>402</v>
      </c>
      <c r="D394" t="s">
        <v>403</v>
      </c>
    </row>
    <row r="395" spans="1:4" x14ac:dyDescent="0.45">
      <c r="A395" t="str">
        <f>HYPERLINK("https://leetcode.com/problems/find-leaves-of-binary-tree", "366. Find Leaves of Binary Tree")</f>
        <v>366. Find Leaves of Binary Tree</v>
      </c>
      <c r="B395" t="s">
        <v>7</v>
      </c>
      <c r="C395" t="s">
        <v>404</v>
      </c>
      <c r="D395" t="s">
        <v>405</v>
      </c>
    </row>
    <row r="396" spans="1:4" x14ac:dyDescent="0.45">
      <c r="A396" t="str">
        <f>HYPERLINK("https://leetcode.com/problems/binary-tree-postorder-traversal", "145. Binary Tree Postorder Traversal")</f>
        <v>145. Binary Tree Postorder Traversal</v>
      </c>
      <c r="B396" t="s">
        <v>4</v>
      </c>
      <c r="C396" t="s">
        <v>406</v>
      </c>
      <c r="D396" t="s">
        <v>61</v>
      </c>
    </row>
    <row r="397" spans="1:4" x14ac:dyDescent="0.45">
      <c r="A397" t="str">
        <f>HYPERLINK("https://leetcode.com/problems/increasing-triplet-subsequence", "334. Increasing Triplet Subsequence")</f>
        <v>334. Increasing Triplet Subsequence</v>
      </c>
      <c r="B397" t="s">
        <v>7</v>
      </c>
      <c r="C397" t="s">
        <v>407</v>
      </c>
      <c r="D397" t="s">
        <v>11</v>
      </c>
    </row>
    <row r="398" spans="1:4" x14ac:dyDescent="0.45">
      <c r="A398" t="str">
        <f>HYPERLINK("https://leetcode.com/problems/next-greater-element-i", "496. Next Greater Element I")</f>
        <v>496. Next Greater Element I</v>
      </c>
      <c r="B398" t="s">
        <v>4</v>
      </c>
      <c r="C398" t="s">
        <v>355</v>
      </c>
      <c r="D398" t="s">
        <v>11</v>
      </c>
    </row>
    <row r="399" spans="1:4" x14ac:dyDescent="0.45">
      <c r="A399" t="str">
        <f>HYPERLINK("https://leetcode.com/problems/build-array-from-permutation", "1920. Build Array from Permutation")</f>
        <v>1920. Build Array from Permutation</v>
      </c>
      <c r="B399" t="s">
        <v>4</v>
      </c>
      <c r="C399" t="s">
        <v>408</v>
      </c>
      <c r="D399" t="s">
        <v>393</v>
      </c>
    </row>
    <row r="400" spans="1:4" x14ac:dyDescent="0.45">
      <c r="A400" t="str">
        <f>HYPERLINK("https://leetcode.com/problems/two-sum-ii---input-array-is-sorted", "167. Two Sum II - Input Array Is Sorted")</f>
        <v>167. Two Sum II - Input Array Is Sorted</v>
      </c>
      <c r="B400" t="s">
        <v>7</v>
      </c>
      <c r="C400" t="s">
        <v>272</v>
      </c>
      <c r="D400" t="s">
        <v>14</v>
      </c>
    </row>
    <row r="401" spans="1:4" x14ac:dyDescent="0.45">
      <c r="A401" t="str">
        <f>HYPERLINK("https://leetcode.com/problems/remove-duplicates-from-sorted-list", "83. Remove Duplicates from Sorted List")</f>
        <v>83. Remove Duplicates from Sorted List</v>
      </c>
      <c r="B401" t="s">
        <v>4</v>
      </c>
      <c r="C401" t="s">
        <v>352</v>
      </c>
      <c r="D401" t="s">
        <v>330</v>
      </c>
    </row>
    <row r="402" spans="1:4" x14ac:dyDescent="0.45">
      <c r="A402" t="str">
        <f>HYPERLINK("https://leetcode.com/problems/candy", "135. Candy")</f>
        <v>135. Candy</v>
      </c>
      <c r="B402" t="s">
        <v>12</v>
      </c>
      <c r="C402" t="s">
        <v>409</v>
      </c>
      <c r="D402" t="s">
        <v>410</v>
      </c>
    </row>
    <row r="403" spans="1:4" x14ac:dyDescent="0.45">
      <c r="A403" t="str">
        <f>HYPERLINK("https://leetcode.com/problems/first-bad-version", "278. First Bad Version")</f>
        <v>278. First Bad Version</v>
      </c>
      <c r="B403" t="s">
        <v>4</v>
      </c>
      <c r="C403" t="s">
        <v>388</v>
      </c>
      <c r="D403" t="s">
        <v>68</v>
      </c>
    </row>
    <row r="404" spans="1:4" x14ac:dyDescent="0.45">
      <c r="A404" t="str">
        <f>HYPERLINK("https://leetcode.com/problems/most-stones-removed-with-same-row-or-column", "947. Most Stones Removed with Same Row or Column")</f>
        <v>947. Most Stones Removed with Same Row or Column</v>
      </c>
      <c r="B404" t="s">
        <v>7</v>
      </c>
      <c r="C404" t="s">
        <v>411</v>
      </c>
      <c r="D404" t="s">
        <v>61</v>
      </c>
    </row>
    <row r="405" spans="1:4" x14ac:dyDescent="0.45">
      <c r="A405" t="str">
        <f>HYPERLINK("https://leetcode.com/problems/remove-duplicates-from-sorted-array-ii", "80. Remove Duplicates from Sorted Array II")</f>
        <v>80. Remove Duplicates from Sorted Array II</v>
      </c>
      <c r="B405" t="s">
        <v>7</v>
      </c>
      <c r="C405" t="s">
        <v>58</v>
      </c>
      <c r="D405" t="s">
        <v>11</v>
      </c>
    </row>
    <row r="406" spans="1:4" x14ac:dyDescent="0.45">
      <c r="A406" t="str">
        <f>HYPERLINK("https://leetcode.com/problems/return-length-of-arguments-passed", "2703. Return Length of Arguments Passed")</f>
        <v>2703. Return Length of Arguments Passed</v>
      </c>
      <c r="B406" t="s">
        <v>4</v>
      </c>
      <c r="C406" t="s">
        <v>412</v>
      </c>
      <c r="D406" t="s">
        <v>61</v>
      </c>
    </row>
    <row r="407" spans="1:4" x14ac:dyDescent="0.45">
      <c r="A407" t="str">
        <f>HYPERLINK("https://leetcode.com/problems/minimum-cost-for-tickets", "983. Minimum Cost For Tickets")</f>
        <v>983. Minimum Cost For Tickets</v>
      </c>
      <c r="B407" t="s">
        <v>7</v>
      </c>
      <c r="C407" t="s">
        <v>316</v>
      </c>
      <c r="D407" t="s">
        <v>68</v>
      </c>
    </row>
    <row r="408" spans="1:4" x14ac:dyDescent="0.45">
      <c r="A408" t="str">
        <f>HYPERLINK("https://leetcode.com/problems/rotate-string", "796. Rotate String")</f>
        <v>796. Rotate String</v>
      </c>
      <c r="B408" t="s">
        <v>4</v>
      </c>
      <c r="C408" t="s">
        <v>143</v>
      </c>
      <c r="D408" t="s">
        <v>54</v>
      </c>
    </row>
    <row r="409" spans="1:4" x14ac:dyDescent="0.45">
      <c r="A409" t="str">
        <f>HYPERLINK("https://leetcode.com/problems/convert-a-number-to-hexadecimal", "405. Convert a Number to Hexadecimal")</f>
        <v>405. Convert a Number to Hexadecimal</v>
      </c>
      <c r="B409" t="s">
        <v>4</v>
      </c>
      <c r="C409" t="s">
        <v>80</v>
      </c>
      <c r="D409" t="s">
        <v>68</v>
      </c>
    </row>
    <row r="410" spans="1:4" x14ac:dyDescent="0.45">
      <c r="A410" t="str">
        <f>HYPERLINK("https://leetcode.com/problems/non-overlapping-intervals", "435. Non-overlapping Intervals")</f>
        <v>435. Non-overlapping Intervals</v>
      </c>
      <c r="B410" t="s">
        <v>7</v>
      </c>
      <c r="C410" t="s">
        <v>413</v>
      </c>
      <c r="D410" t="s">
        <v>20</v>
      </c>
    </row>
    <row r="411" spans="1:4" x14ac:dyDescent="0.45">
      <c r="A411" t="str">
        <f>HYPERLINK("https://leetcode.com/problems/unique-paths-ii", "63. Unique Paths II")</f>
        <v>63. Unique Paths II</v>
      </c>
      <c r="B411" t="s">
        <v>7</v>
      </c>
      <c r="C411" t="s">
        <v>414</v>
      </c>
      <c r="D411" t="s">
        <v>20</v>
      </c>
    </row>
    <row r="412" spans="1:4" x14ac:dyDescent="0.45">
      <c r="A412" t="str">
        <f>HYPERLINK("https://leetcode.com/problems/best-sightseeing-pair", "1014. Best Sightseeing Pair")</f>
        <v>1014. Best Sightseeing Pair</v>
      </c>
      <c r="B412" t="s">
        <v>7</v>
      </c>
      <c r="C412" t="s">
        <v>415</v>
      </c>
      <c r="D412" t="s">
        <v>303</v>
      </c>
    </row>
    <row r="413" spans="1:4" x14ac:dyDescent="0.45">
      <c r="A413" t="str">
        <f>HYPERLINK("https://leetcode.com/problems/sleep", "2621. Sleep")</f>
        <v>2621. Sleep</v>
      </c>
      <c r="B413" t="s">
        <v>4</v>
      </c>
      <c r="C413" t="s">
        <v>416</v>
      </c>
      <c r="D413" t="s">
        <v>44</v>
      </c>
    </row>
    <row r="414" spans="1:4" x14ac:dyDescent="0.45">
      <c r="A414" t="str">
        <f>HYPERLINK("https://leetcode.com/problems/all-nodes-distance-k-in-binary-tree", "863. All Nodes Distance K in Binary Tree")</f>
        <v>863. All Nodes Distance K in Binary Tree</v>
      </c>
      <c r="B414" t="s">
        <v>7</v>
      </c>
      <c r="C414" t="s">
        <v>30</v>
      </c>
      <c r="D414" t="s">
        <v>417</v>
      </c>
    </row>
    <row r="415" spans="1:4" x14ac:dyDescent="0.45">
      <c r="A415" t="str">
        <f>HYPERLINK("https://leetcode.com/problems/remove-duplicates-from-sorted-list-ii", "82. Remove Duplicates from Sorted List II")</f>
        <v>82. Remove Duplicates from Sorted List II</v>
      </c>
      <c r="B415" t="s">
        <v>7</v>
      </c>
      <c r="C415" t="s">
        <v>164</v>
      </c>
      <c r="D415" t="s">
        <v>34</v>
      </c>
    </row>
    <row r="416" spans="1:4" x14ac:dyDescent="0.45">
      <c r="A416" t="str">
        <f>HYPERLINK("https://leetcode.com/problems/employees-whose-manager-left-the-company", "1978. Employees Whose Manager Left the Company")</f>
        <v>1978. Employees Whose Manager Left the Company</v>
      </c>
      <c r="B416" t="s">
        <v>4</v>
      </c>
      <c r="C416" t="s">
        <v>220</v>
      </c>
      <c r="D416" t="s">
        <v>44</v>
      </c>
    </row>
    <row r="417" spans="1:4" x14ac:dyDescent="0.45">
      <c r="A417" t="str">
        <f>HYPERLINK("https://leetcode.com/problems/search-suggestions-system", "1268. Search Suggestions System")</f>
        <v>1268. Search Suggestions System</v>
      </c>
      <c r="B417" t="s">
        <v>7</v>
      </c>
      <c r="C417" t="s">
        <v>418</v>
      </c>
      <c r="D417" t="s">
        <v>419</v>
      </c>
    </row>
    <row r="418" spans="1:4" x14ac:dyDescent="0.45">
      <c r="A418" t="str">
        <f>HYPERLINK("https://leetcode.com/problems/product-sales-analysis-i", "1068. Product Sales Analysis I")</f>
        <v>1068. Product Sales Analysis I</v>
      </c>
      <c r="B418" t="s">
        <v>4</v>
      </c>
      <c r="C418" t="s">
        <v>420</v>
      </c>
      <c r="D418" t="s">
        <v>330</v>
      </c>
    </row>
    <row r="419" spans="1:4" x14ac:dyDescent="0.45">
      <c r="A419" t="str">
        <f>HYPERLINK("https://leetcode.com/problems/validate-binary-search-tree", "98. Validate Binary Search Tree")</f>
        <v>98. Validate Binary Search Tree</v>
      </c>
      <c r="B419" t="s">
        <v>7</v>
      </c>
      <c r="C419" t="s">
        <v>421</v>
      </c>
      <c r="D419" t="s">
        <v>130</v>
      </c>
    </row>
    <row r="420" spans="1:4" x14ac:dyDescent="0.45">
      <c r="A420" t="str">
        <f>HYPERLINK("https://leetcode.com/problems/palindrome-linked-list", "234. Palindrome Linked List")</f>
        <v>234. Palindrome Linked List</v>
      </c>
      <c r="B420" t="s">
        <v>4</v>
      </c>
      <c r="C420" t="s">
        <v>5</v>
      </c>
      <c r="D420" t="s">
        <v>11</v>
      </c>
    </row>
    <row r="421" spans="1:4" x14ac:dyDescent="0.45">
      <c r="A421" t="str">
        <f>HYPERLINK("https://leetcode.com/problems/is-graph-bipartite?", "785. Is Graph Bipartite?")</f>
        <v>785. Is Graph Bipartite?</v>
      </c>
      <c r="B421" t="s">
        <v>7</v>
      </c>
      <c r="C421" t="s">
        <v>15</v>
      </c>
      <c r="D421" t="s">
        <v>61</v>
      </c>
    </row>
    <row r="422" spans="1:4" x14ac:dyDescent="0.45">
      <c r="A422" t="str">
        <f>HYPERLINK("https://leetcode.com/problems/largest-number", "179. Largest Number")</f>
        <v>179. Largest Number</v>
      </c>
      <c r="B422" t="s">
        <v>7</v>
      </c>
      <c r="C422" t="s">
        <v>38</v>
      </c>
      <c r="D422" t="s">
        <v>20</v>
      </c>
    </row>
    <row r="423" spans="1:4" x14ac:dyDescent="0.45">
      <c r="A423" t="str">
        <f>HYPERLINK("https://leetcode.com/problems/odd-even-linked-list", "328. Odd Even Linked List")</f>
        <v>328. Odd Even Linked List</v>
      </c>
      <c r="B423" t="s">
        <v>7</v>
      </c>
      <c r="C423" t="s">
        <v>141</v>
      </c>
      <c r="D423" t="s">
        <v>20</v>
      </c>
    </row>
    <row r="424" spans="1:4" x14ac:dyDescent="0.45">
      <c r="A424" t="str">
        <f>HYPERLINK("https://leetcode.com/problems/product-price-at-a-given-date", "1164. Product Price at a Given Date")</f>
        <v>1164. Product Price at a Given Date</v>
      </c>
      <c r="B424" t="s">
        <v>7</v>
      </c>
      <c r="C424" t="s">
        <v>422</v>
      </c>
      <c r="D424" t="s">
        <v>234</v>
      </c>
    </row>
    <row r="425" spans="1:4" x14ac:dyDescent="0.45">
      <c r="A425" t="str">
        <f>HYPERLINK("https://leetcode.com/problems/confirmation-rate", "1934. Confirmation Rate")</f>
        <v>1934. Confirmation Rate</v>
      </c>
      <c r="B425" t="s">
        <v>7</v>
      </c>
      <c r="C425" t="s">
        <v>423</v>
      </c>
      <c r="D425" t="s">
        <v>128</v>
      </c>
    </row>
    <row r="426" spans="1:4" x14ac:dyDescent="0.45">
      <c r="A426" t="str">
        <f>HYPERLINK("https://leetcode.com/problems/elimination-game", "390. Elimination Game")</f>
        <v>390. Elimination Game</v>
      </c>
      <c r="B426" t="s">
        <v>7</v>
      </c>
      <c r="C426" t="s">
        <v>133</v>
      </c>
      <c r="D426" t="s">
        <v>44</v>
      </c>
    </row>
    <row r="427" spans="1:4" x14ac:dyDescent="0.45">
      <c r="A427" t="str">
        <f>HYPERLINK("https://leetcode.com/problems/permutations-ii", "47. Permutations II")</f>
        <v>47. Permutations II</v>
      </c>
      <c r="B427" t="s">
        <v>7</v>
      </c>
      <c r="C427" t="s">
        <v>205</v>
      </c>
      <c r="D427" t="s">
        <v>91</v>
      </c>
    </row>
    <row r="428" spans="1:4" x14ac:dyDescent="0.45">
      <c r="A428" t="str">
        <f>HYPERLINK("https://leetcode.com/problems/fair-candy-swap", "888. Fair Candy Swap")</f>
        <v>888. Fair Candy Swap</v>
      </c>
      <c r="B428" t="s">
        <v>4</v>
      </c>
      <c r="C428" t="s">
        <v>226</v>
      </c>
      <c r="D428" t="s">
        <v>61</v>
      </c>
    </row>
    <row r="429" spans="1:4" x14ac:dyDescent="0.45">
      <c r="A429" t="str">
        <f>HYPERLINK("https://leetcode.com/problems/find-the-longest-substring-containing-vowels-in-even-counts", "1371. Find the Longest Substring Containing Vowels in Even Counts")</f>
        <v>1371. Find the Longest Substring Containing Vowels in Even Counts</v>
      </c>
      <c r="B429" t="s">
        <v>7</v>
      </c>
      <c r="C429" t="s">
        <v>424</v>
      </c>
      <c r="D429" t="s">
        <v>44</v>
      </c>
    </row>
    <row r="430" spans="1:4" x14ac:dyDescent="0.45">
      <c r="A430" t="str">
        <f>HYPERLINK("https://leetcode.com/problems/not-boring-movies", "620. Not Boring Movies")</f>
        <v>620. Not Boring Movies</v>
      </c>
      <c r="B430" t="s">
        <v>4</v>
      </c>
      <c r="C430" t="s">
        <v>425</v>
      </c>
      <c r="D430" t="s">
        <v>61</v>
      </c>
    </row>
    <row r="431" spans="1:4" x14ac:dyDescent="0.45">
      <c r="A431" t="str">
        <f>HYPERLINK("https://leetcode.com/problems/apply-transform-over-each-element-in-array", "2635. Apply Transform Over Each Element in Array")</f>
        <v>2635. Apply Transform Over Each Element in Array</v>
      </c>
      <c r="B431" t="s">
        <v>4</v>
      </c>
      <c r="C431" t="s">
        <v>426</v>
      </c>
      <c r="D431" t="s">
        <v>68</v>
      </c>
    </row>
    <row r="432" spans="1:4" x14ac:dyDescent="0.45">
      <c r="A432" t="str">
        <f>HYPERLINK("https://leetcode.com/problems/number-of-1-bits", "191. Number of 1 Bits")</f>
        <v>191. Number of 1 Bits</v>
      </c>
      <c r="B432" t="s">
        <v>4</v>
      </c>
      <c r="C432" t="s">
        <v>355</v>
      </c>
      <c r="D432" t="s">
        <v>214</v>
      </c>
    </row>
    <row r="433" spans="1:4" x14ac:dyDescent="0.45">
      <c r="A433" t="str">
        <f>HYPERLINK("https://leetcode.com/problems/pascal's-triangle-ii", "119. Pascal's Triangle II")</f>
        <v>119. Pascal's Triangle II</v>
      </c>
      <c r="B433" t="s">
        <v>4</v>
      </c>
      <c r="C433" t="s">
        <v>427</v>
      </c>
      <c r="D433" t="s">
        <v>61</v>
      </c>
    </row>
    <row r="434" spans="1:4" x14ac:dyDescent="0.45">
      <c r="A434" t="str">
        <f>HYPERLINK("https://leetcode.com/problems/valid-palindrome-ii", "680. Valid Palindrome II")</f>
        <v>680. Valid Palindrome II</v>
      </c>
      <c r="B434" t="s">
        <v>4</v>
      </c>
      <c r="C434" t="s">
        <v>215</v>
      </c>
      <c r="D434" t="s">
        <v>68</v>
      </c>
    </row>
    <row r="435" spans="1:4" x14ac:dyDescent="0.45">
      <c r="A435" t="str">
        <f>HYPERLINK("https://leetcode.com/problems/article-views-i", "1148. Article Views I")</f>
        <v>1148. Article Views I</v>
      </c>
      <c r="B435" t="s">
        <v>4</v>
      </c>
      <c r="C435" t="s">
        <v>428</v>
      </c>
      <c r="D435" t="s">
        <v>11</v>
      </c>
    </row>
    <row r="436" spans="1:4" x14ac:dyDescent="0.45">
      <c r="A436" t="str">
        <f>HYPERLINK("https://leetcode.com/problems/move-pieces-to-obtain-a-string", "2337. Move Pieces to Obtain a String")</f>
        <v>2337. Move Pieces to Obtain a String</v>
      </c>
      <c r="B436" t="s">
        <v>7</v>
      </c>
      <c r="C436" t="s">
        <v>89</v>
      </c>
      <c r="D436" t="s">
        <v>68</v>
      </c>
    </row>
    <row r="437" spans="1:4" x14ac:dyDescent="0.45">
      <c r="A437" t="str">
        <f>HYPERLINK("https://leetcode.com/problems/find-the-town-judge", "997. Find the Town Judge")</f>
        <v>997. Find the Town Judge</v>
      </c>
      <c r="B437" t="s">
        <v>4</v>
      </c>
      <c r="C437" t="s">
        <v>429</v>
      </c>
      <c r="D437" t="s">
        <v>44</v>
      </c>
    </row>
    <row r="438" spans="1:4" x14ac:dyDescent="0.45">
      <c r="A438" t="str">
        <f>HYPERLINK("https://leetcode.com/problems/remove-all-adjacent-duplicates-in-string", "1047. Remove All Adjacent Duplicates In String")</f>
        <v>1047. Remove All Adjacent Duplicates In String</v>
      </c>
      <c r="B438" t="s">
        <v>4</v>
      </c>
      <c r="C438" t="s">
        <v>430</v>
      </c>
      <c r="D438" t="s">
        <v>228</v>
      </c>
    </row>
    <row r="439" spans="1:4" x14ac:dyDescent="0.45">
      <c r="A439" t="str">
        <f>HYPERLINK("https://leetcode.com/problems/network-delay-time", "743. Network Delay Time")</f>
        <v>743. Network Delay Time</v>
      </c>
      <c r="B439" t="s">
        <v>7</v>
      </c>
      <c r="C439" t="s">
        <v>342</v>
      </c>
      <c r="D439" t="s">
        <v>61</v>
      </c>
    </row>
    <row r="440" spans="1:4" x14ac:dyDescent="0.45">
      <c r="A440" t="str">
        <f>HYPERLINK("https://leetcode.com/problems/monthly-transactions-i", "1193. Monthly Transactions I")</f>
        <v>1193. Monthly Transactions I</v>
      </c>
      <c r="B440" t="s">
        <v>7</v>
      </c>
      <c r="C440" t="s">
        <v>431</v>
      </c>
      <c r="D440" t="s">
        <v>61</v>
      </c>
    </row>
    <row r="441" spans="1:4" x14ac:dyDescent="0.45">
      <c r="A441" t="str">
        <f>HYPERLINK("https://leetcode.com/problems/making-a-large-island", "827. Making A Large Island")</f>
        <v>827. Making A Large Island</v>
      </c>
      <c r="B441" t="s">
        <v>12</v>
      </c>
      <c r="C441" t="s">
        <v>207</v>
      </c>
      <c r="D441" t="s">
        <v>11</v>
      </c>
    </row>
    <row r="442" spans="1:4" x14ac:dyDescent="0.45">
      <c r="A442" t="str">
        <f>HYPERLINK("https://leetcode.com/problems/shuffle-the-array", "1470. Shuffle the Array")</f>
        <v>1470. Shuffle the Array</v>
      </c>
      <c r="B442" t="s">
        <v>4</v>
      </c>
      <c r="C442" t="s">
        <v>432</v>
      </c>
      <c r="D442" t="s">
        <v>34</v>
      </c>
    </row>
    <row r="443" spans="1:4" x14ac:dyDescent="0.45">
      <c r="A443" t="str">
        <f>HYPERLINK("https://leetcode.com/problems/array-prototype-last", "2619. Array Prototype Last")</f>
        <v>2619. Array Prototype Last</v>
      </c>
      <c r="B443" t="s">
        <v>4</v>
      </c>
      <c r="C443" t="s">
        <v>433</v>
      </c>
      <c r="D443" t="s">
        <v>44</v>
      </c>
    </row>
    <row r="444" spans="1:4" x14ac:dyDescent="0.45">
      <c r="A444" t="str">
        <f>HYPERLINK("https://leetcode.com/problems/ugly-number", "263. Ugly Number")</f>
        <v>263. Ugly Number</v>
      </c>
      <c r="B444" t="s">
        <v>4</v>
      </c>
      <c r="C444" t="s">
        <v>434</v>
      </c>
      <c r="D444" t="s">
        <v>309</v>
      </c>
    </row>
    <row r="445" spans="1:4" x14ac:dyDescent="0.45">
      <c r="A445" t="str">
        <f>HYPERLINK("https://leetcode.com/problems/combinations", "77. Combinations")</f>
        <v>77. Combinations</v>
      </c>
      <c r="B445" t="s">
        <v>7</v>
      </c>
      <c r="C445" t="s">
        <v>435</v>
      </c>
      <c r="D445" t="s">
        <v>63</v>
      </c>
    </row>
    <row r="446" spans="1:4" x14ac:dyDescent="0.45">
      <c r="A446" t="str">
        <f>HYPERLINK("https://leetcode.com/problems/all-o`one-data-structure", "432. All O`one Data Structure")</f>
        <v>432. All O`one Data Structure</v>
      </c>
      <c r="B446" t="s">
        <v>12</v>
      </c>
      <c r="C446" t="s">
        <v>133</v>
      </c>
      <c r="D446" t="s">
        <v>436</v>
      </c>
    </row>
    <row r="447" spans="1:4" x14ac:dyDescent="0.45">
      <c r="A447" t="str">
        <f>HYPERLINK("https://leetcode.com/problems/basic-calculator-iii", "772. Basic Calculator III")</f>
        <v>772. Basic Calculator III</v>
      </c>
      <c r="B447" t="s">
        <v>12</v>
      </c>
      <c r="C447" t="s">
        <v>199</v>
      </c>
      <c r="D447" t="s">
        <v>419</v>
      </c>
    </row>
    <row r="448" spans="1:4" x14ac:dyDescent="0.45">
      <c r="A448" t="str">
        <f>HYPERLINK("https://leetcode.com/problems/remove-linked-list-elements", "203. Remove Linked List Elements")</f>
        <v>203. Remove Linked List Elements</v>
      </c>
      <c r="B448" t="s">
        <v>4</v>
      </c>
      <c r="C448" t="s">
        <v>437</v>
      </c>
      <c r="D448" t="s">
        <v>128</v>
      </c>
    </row>
    <row r="449" spans="1:4" x14ac:dyDescent="0.45">
      <c r="A449" t="str">
        <f>HYPERLINK("https://leetcode.com/problems/convert-object-to-json-string", "2633. Convert Object to JSON String")</f>
        <v>2633. Convert Object to JSON String</v>
      </c>
      <c r="B449" t="s">
        <v>7</v>
      </c>
      <c r="C449" t="s">
        <v>394</v>
      </c>
      <c r="D449" t="s">
        <v>44</v>
      </c>
    </row>
    <row r="450" spans="1:4" x14ac:dyDescent="0.45">
      <c r="A450" t="str">
        <f>HYPERLINK("https://leetcode.com/problems/employee-bonus", "577. Employee Bonus")</f>
        <v>577. Employee Bonus</v>
      </c>
      <c r="B450" t="s">
        <v>4</v>
      </c>
      <c r="C450" t="s">
        <v>438</v>
      </c>
      <c r="D450" t="s">
        <v>11</v>
      </c>
    </row>
    <row r="451" spans="1:4" x14ac:dyDescent="0.45">
      <c r="A451" t="str">
        <f>HYPERLINK("https://leetcode.com/problems/valid-perfect-square", "367. Valid Perfect Square")</f>
        <v>367. Valid Perfect Square</v>
      </c>
      <c r="B451" t="s">
        <v>4</v>
      </c>
      <c r="C451" t="s">
        <v>283</v>
      </c>
      <c r="D451" t="s">
        <v>91</v>
      </c>
    </row>
    <row r="452" spans="1:4" x14ac:dyDescent="0.45">
      <c r="A452" t="str">
        <f>HYPERLINK("https://leetcode.com/problems/find-all-duplicates-in-an-array", "442. Find All Duplicates in an Array")</f>
        <v>442. Find All Duplicates in an Array</v>
      </c>
      <c r="B452" t="s">
        <v>7</v>
      </c>
      <c r="C452" t="s">
        <v>292</v>
      </c>
      <c r="D452" t="s">
        <v>54</v>
      </c>
    </row>
    <row r="453" spans="1:4" x14ac:dyDescent="0.45">
      <c r="A453" t="str">
        <f>HYPERLINK("https://leetcode.com/problems/minimum-string-length-after-removing-substrings", "2696. Minimum String Length After Removing Substrings")</f>
        <v>2696. Minimum String Length After Removing Substrings</v>
      </c>
      <c r="B453" t="s">
        <v>4</v>
      </c>
      <c r="C453" t="s">
        <v>438</v>
      </c>
      <c r="D453" t="s">
        <v>44</v>
      </c>
    </row>
    <row r="454" spans="1:4" x14ac:dyDescent="0.45">
      <c r="A454" t="str">
        <f>HYPERLINK("https://leetcode.com/problems/partition-array-into-two-arrays-to-minimize-sum-difference", "2035. Partition Array Into Two Arrays to Minimize Sum Difference")</f>
        <v>2035. Partition Array Into Two Arrays to Minimize Sum Difference</v>
      </c>
      <c r="B454" t="s">
        <v>12</v>
      </c>
      <c r="C454" t="s">
        <v>439</v>
      </c>
      <c r="D454" t="s">
        <v>234</v>
      </c>
    </row>
    <row r="455" spans="1:4" x14ac:dyDescent="0.45">
      <c r="A455" t="str">
        <f>HYPERLINK("https://leetcode.com/problems/intersection-of-two-linked-lists", "160. Intersection of Two Linked Lists")</f>
        <v>160. Intersection of Two Linked Lists</v>
      </c>
      <c r="B455" t="s">
        <v>4</v>
      </c>
      <c r="C455" t="s">
        <v>440</v>
      </c>
      <c r="D455" t="s">
        <v>339</v>
      </c>
    </row>
    <row r="456" spans="1:4" x14ac:dyDescent="0.45">
      <c r="A456" t="str">
        <f>HYPERLINK("https://leetcode.com/problems/design-add-and-search-words-data-structure", "211. Design Add and Search Words Data Structure")</f>
        <v>211. Design Add and Search Words Data Structure</v>
      </c>
      <c r="B456" t="s">
        <v>7</v>
      </c>
      <c r="C456" t="s">
        <v>179</v>
      </c>
      <c r="D456" t="s">
        <v>256</v>
      </c>
    </row>
    <row r="457" spans="1:4" x14ac:dyDescent="0.45">
      <c r="A457" t="str">
        <f>HYPERLINK("https://leetcode.com/problems/to-lower-case", "709. To Lower Case")</f>
        <v>709. To Lower Case</v>
      </c>
      <c r="B457" t="s">
        <v>4</v>
      </c>
      <c r="C457" t="s">
        <v>441</v>
      </c>
      <c r="D457" t="s">
        <v>44</v>
      </c>
    </row>
    <row r="458" spans="1:4" x14ac:dyDescent="0.45">
      <c r="A458" t="str">
        <f>HYPERLINK("https://leetcode.com/problems/kth-missing-positive-number", "1539. Kth Missing Positive Number")</f>
        <v>1539. Kth Missing Positive Number</v>
      </c>
      <c r="B458" t="s">
        <v>4</v>
      </c>
      <c r="C458" t="s">
        <v>202</v>
      </c>
      <c r="D458" t="s">
        <v>11</v>
      </c>
    </row>
    <row r="459" spans="1:4" x14ac:dyDescent="0.45">
      <c r="A459" t="str">
        <f>HYPERLINK("https://leetcode.com/problems/longest-subarray-of-1's-after-deleting-one-element", "1493. Longest Subarray of 1's After Deleting One Element")</f>
        <v>1493. Longest Subarray of 1's After Deleting One Element</v>
      </c>
      <c r="B459" t="s">
        <v>7</v>
      </c>
      <c r="C459" t="s">
        <v>442</v>
      </c>
      <c r="D459" t="s">
        <v>34</v>
      </c>
    </row>
    <row r="460" spans="1:4" x14ac:dyDescent="0.45">
      <c r="A460" t="str">
        <f>HYPERLINK("https://leetcode.com/problems/max-area-of-island", "695. Max Area of Island")</f>
        <v>695. Max Area of Island</v>
      </c>
      <c r="B460" t="s">
        <v>7</v>
      </c>
      <c r="C460" t="s">
        <v>443</v>
      </c>
      <c r="D460" t="s">
        <v>50</v>
      </c>
    </row>
    <row r="461" spans="1:4" x14ac:dyDescent="0.45">
      <c r="A461" t="str">
        <f>HYPERLINK("https://leetcode.com/problems/single-number-iii", "260. Single Number III")</f>
        <v>260. Single Number III</v>
      </c>
      <c r="B461" t="s">
        <v>7</v>
      </c>
      <c r="C461" t="s">
        <v>378</v>
      </c>
      <c r="D461" t="s">
        <v>44</v>
      </c>
    </row>
    <row r="462" spans="1:4" x14ac:dyDescent="0.45">
      <c r="A462" t="str">
        <f>HYPERLINK("https://leetcode.com/problems/smallest-range-covering-elements-from-k-lists", "632. Smallest Range Covering Elements from K Lists")</f>
        <v>632. Smallest Range Covering Elements from K Lists</v>
      </c>
      <c r="B462" t="s">
        <v>12</v>
      </c>
      <c r="C462" t="s">
        <v>444</v>
      </c>
      <c r="D462" t="s">
        <v>61</v>
      </c>
    </row>
    <row r="463" spans="1:4" x14ac:dyDescent="0.45">
      <c r="A463" t="str">
        <f>HYPERLINK("https://leetcode.com/problems/binary-tree-level-order-traversal", "102. Binary Tree Level Order Traversal")</f>
        <v>102. Binary Tree Level Order Traversal</v>
      </c>
      <c r="B463" t="s">
        <v>7</v>
      </c>
      <c r="C463" t="s">
        <v>445</v>
      </c>
      <c r="D463" t="s">
        <v>11</v>
      </c>
    </row>
    <row r="464" spans="1:4" x14ac:dyDescent="0.45">
      <c r="A464" t="str">
        <f>HYPERLINK("https://leetcode.com/problems/populating-next-right-pointers-in-each-node", "116. Populating Next Right Pointers in Each Node")</f>
        <v>116. Populating Next Right Pointers in Each Node</v>
      </c>
      <c r="B464" t="s">
        <v>7</v>
      </c>
      <c r="C464" t="s">
        <v>446</v>
      </c>
      <c r="D464" t="s">
        <v>20</v>
      </c>
    </row>
    <row r="465" spans="1:4" x14ac:dyDescent="0.45">
      <c r="A465" t="str">
        <f>HYPERLINK("https://leetcode.com/problems/implement-queue-using-stacks", "232. Implement Queue using Stacks")</f>
        <v>232. Implement Queue using Stacks</v>
      </c>
      <c r="B465" t="s">
        <v>4</v>
      </c>
      <c r="C465" t="s">
        <v>387</v>
      </c>
      <c r="D465" t="s">
        <v>128</v>
      </c>
    </row>
    <row r="466" spans="1:4" x14ac:dyDescent="0.45">
      <c r="A466" t="str">
        <f>HYPERLINK("https://leetcode.com/problems/number-of-ways-to-arrive-at-destination", "1976. Number of Ways to Arrive at Destination")</f>
        <v>1976. Number of Ways to Arrive at Destination</v>
      </c>
      <c r="B466" t="s">
        <v>7</v>
      </c>
      <c r="C466" t="s">
        <v>121</v>
      </c>
      <c r="D466" t="s">
        <v>61</v>
      </c>
    </row>
    <row r="467" spans="1:4" x14ac:dyDescent="0.45">
      <c r="A467" t="str">
        <f>HYPERLINK("https://leetcode.com/problems/multiply-strings", "43. Multiply Strings")</f>
        <v>43. Multiply Strings</v>
      </c>
      <c r="B467" t="s">
        <v>7</v>
      </c>
      <c r="C467" t="s">
        <v>125</v>
      </c>
      <c r="D467" t="s">
        <v>54</v>
      </c>
    </row>
    <row r="468" spans="1:4" x14ac:dyDescent="0.45">
      <c r="A468" t="str">
        <f>HYPERLINK("https://leetcode.com/problems/find-pivot-index", "724. Find Pivot Index")</f>
        <v>724. Find Pivot Index</v>
      </c>
      <c r="B468" t="s">
        <v>4</v>
      </c>
      <c r="C468" t="s">
        <v>447</v>
      </c>
      <c r="D468" t="s">
        <v>68</v>
      </c>
    </row>
    <row r="469" spans="1:4" x14ac:dyDescent="0.45">
      <c r="A469" t="str">
        <f>HYPERLINK("https://leetcode.com/problems/maximum-swap", "670. Maximum Swap")</f>
        <v>670. Maximum Swap</v>
      </c>
      <c r="B469" t="s">
        <v>7</v>
      </c>
      <c r="C469" t="s">
        <v>448</v>
      </c>
      <c r="D469" t="s">
        <v>20</v>
      </c>
    </row>
    <row r="470" spans="1:4" x14ac:dyDescent="0.45">
      <c r="A470" t="str">
        <f>HYPERLINK("https://leetcode.com/problems/check-if-dfs-strings-are-palindromes", "3327. Check if DFS Strings Are Palindromes")</f>
        <v>3327. Check if DFS Strings Are Palindromes</v>
      </c>
      <c r="B470" t="s">
        <v>12</v>
      </c>
      <c r="C470" t="s">
        <v>449</v>
      </c>
      <c r="D470" t="s">
        <v>44</v>
      </c>
    </row>
    <row r="471" spans="1:4" x14ac:dyDescent="0.45">
      <c r="A471" t="str">
        <f>HYPERLINK("https://leetcode.com/problems/parsing-a-boolean-expression", "1106. Parsing A Boolean Expression")</f>
        <v>1106. Parsing A Boolean Expression</v>
      </c>
      <c r="B471" t="s">
        <v>12</v>
      </c>
      <c r="C471" t="s">
        <v>247</v>
      </c>
      <c r="D471" t="s">
        <v>91</v>
      </c>
    </row>
    <row r="472" spans="1:4" x14ac:dyDescent="0.45">
      <c r="A472" t="str">
        <f>HYPERLINK("https://leetcode.com/problems/exchange-seats", "626. Exchange Seats")</f>
        <v>626. Exchange Seats</v>
      </c>
      <c r="B472" t="s">
        <v>7</v>
      </c>
      <c r="C472" t="s">
        <v>450</v>
      </c>
      <c r="D472" t="s">
        <v>234</v>
      </c>
    </row>
    <row r="473" spans="1:4" x14ac:dyDescent="0.45">
      <c r="A473" t="str">
        <f>HYPERLINK("https://leetcode.com/problems/jump-game-vi", "1696. Jump Game VI")</f>
        <v>1696. Jump Game VI</v>
      </c>
      <c r="B473" t="s">
        <v>7</v>
      </c>
      <c r="C473" t="s">
        <v>90</v>
      </c>
      <c r="D473" t="s">
        <v>44</v>
      </c>
    </row>
    <row r="474" spans="1:4" x14ac:dyDescent="0.45">
      <c r="A474" t="str">
        <f>HYPERLINK("https://leetcode.com/problems/count-number-of-maximum-bitwise-or-subsets", "2044. Count Number of Maximum Bitwise-OR Subsets")</f>
        <v>2044. Count Number of Maximum Bitwise-OR Subsets</v>
      </c>
      <c r="B474" t="s">
        <v>7</v>
      </c>
      <c r="C474" t="s">
        <v>451</v>
      </c>
      <c r="D474" t="s">
        <v>61</v>
      </c>
    </row>
    <row r="475" spans="1:4" x14ac:dyDescent="0.45">
      <c r="A475" t="str">
        <f>HYPERLINK("https://leetcode.com/problems/game-play-analysis-iv", "550. Game Play Analysis IV")</f>
        <v>550. Game Play Analysis IV</v>
      </c>
      <c r="B475" t="s">
        <v>7</v>
      </c>
      <c r="C475" t="s">
        <v>159</v>
      </c>
      <c r="D475" t="s">
        <v>91</v>
      </c>
    </row>
    <row r="476" spans="1:4" x14ac:dyDescent="0.45">
      <c r="A476" t="str">
        <f>HYPERLINK("https://leetcode.com/problems/interval-list-intersections", "986. Interval List Intersections")</f>
        <v>986. Interval List Intersections</v>
      </c>
      <c r="B476" t="s">
        <v>7</v>
      </c>
      <c r="C476" t="s">
        <v>435</v>
      </c>
      <c r="D476" t="s">
        <v>54</v>
      </c>
    </row>
    <row r="477" spans="1:4" x14ac:dyDescent="0.45">
      <c r="A477" t="str">
        <f>HYPERLINK("https://leetcode.com/problems/count-number-of-pairs-with-absolute-difference-k", "2006. Count Number of Pairs With Absolute Difference K")</f>
        <v>2006. Count Number of Pairs With Absolute Difference K</v>
      </c>
      <c r="B477" t="s">
        <v>4</v>
      </c>
      <c r="C477" t="s">
        <v>452</v>
      </c>
      <c r="D477" t="s">
        <v>61</v>
      </c>
    </row>
    <row r="478" spans="1:4" x14ac:dyDescent="0.45">
      <c r="A478" t="str">
        <f>HYPERLINK("https://leetcode.com/problems/subarray-sums-divisible-by-k", "974. Subarray Sums Divisible by K")</f>
        <v>974. Subarray Sums Divisible by K</v>
      </c>
      <c r="B478" t="s">
        <v>7</v>
      </c>
      <c r="C478" t="s">
        <v>293</v>
      </c>
      <c r="D478" t="s">
        <v>239</v>
      </c>
    </row>
    <row r="479" spans="1:4" x14ac:dyDescent="0.45">
      <c r="A479" t="str">
        <f>HYPERLINK("https://leetcode.com/problems/find-missing-and-repeated-values", "2965. Find Missing and Repeated Values")</f>
        <v>2965. Find Missing and Repeated Values</v>
      </c>
      <c r="B479" t="s">
        <v>4</v>
      </c>
      <c r="C479" t="s">
        <v>382</v>
      </c>
      <c r="D479" t="s">
        <v>11</v>
      </c>
    </row>
    <row r="480" spans="1:4" x14ac:dyDescent="0.45">
      <c r="A480" t="str">
        <f>HYPERLINK("https://leetcode.com/problems/cousins-in-binary-tree-ii", "2641. Cousins in Binary Tree II")</f>
        <v>2641. Cousins in Binary Tree II</v>
      </c>
      <c r="B480" t="s">
        <v>7</v>
      </c>
      <c r="C480" t="s">
        <v>453</v>
      </c>
      <c r="D480" t="s">
        <v>61</v>
      </c>
    </row>
    <row r="481" spans="1:4" x14ac:dyDescent="0.45">
      <c r="A481" t="str">
        <f>HYPERLINK("https://leetcode.com/problems/make-sum-divisible-by-p", "1590. Make Sum Divisible by P")</f>
        <v>1590. Make Sum Divisible by P</v>
      </c>
      <c r="B481" t="s">
        <v>7</v>
      </c>
      <c r="C481" t="s">
        <v>454</v>
      </c>
      <c r="D481" t="s">
        <v>44</v>
      </c>
    </row>
    <row r="482" spans="1:4" x14ac:dyDescent="0.45">
      <c r="A482" t="str">
        <f>HYPERLINK("https://leetcode.com/problems/find-the-highest-altitude", "1732. Find the Highest Altitude")</f>
        <v>1732. Find the Highest Altitude</v>
      </c>
      <c r="B482" t="s">
        <v>4</v>
      </c>
      <c r="C482" t="s">
        <v>455</v>
      </c>
      <c r="D482" t="s">
        <v>234</v>
      </c>
    </row>
    <row r="483" spans="1:4" x14ac:dyDescent="0.45">
      <c r="A483" t="str">
        <f>HYPERLINK("https://leetcode.com/problems/word-ladder-ii", "126. Word Ladder II")</f>
        <v>126. Word Ladder II</v>
      </c>
      <c r="B483" t="s">
        <v>12</v>
      </c>
      <c r="C483" t="s">
        <v>456</v>
      </c>
      <c r="D483" t="s">
        <v>99</v>
      </c>
    </row>
    <row r="484" spans="1:4" x14ac:dyDescent="0.45">
      <c r="A484" t="str">
        <f>HYPERLINK("https://leetcode.com/problems/time-based-key-value-store", "981. Time Based Key-Value Store")</f>
        <v>981. Time Based Key-Value Store</v>
      </c>
      <c r="B484" t="s">
        <v>7</v>
      </c>
      <c r="C484" t="s">
        <v>301</v>
      </c>
      <c r="D484" t="s">
        <v>54</v>
      </c>
    </row>
    <row r="485" spans="1:4" x14ac:dyDescent="0.45">
      <c r="A485" t="str">
        <f>HYPERLINK("https://leetcode.com/problems/minimum-swaps-to-make-strings-equal", "1247. Minimum Swaps to Make Strings Equal")</f>
        <v>1247. Minimum Swaps to Make Strings Equal</v>
      </c>
      <c r="B485" t="s">
        <v>7</v>
      </c>
      <c r="C485" t="s">
        <v>457</v>
      </c>
      <c r="D485" t="s">
        <v>44</v>
      </c>
    </row>
    <row r="486" spans="1:4" x14ac:dyDescent="0.45">
      <c r="A486" t="str">
        <f>HYPERLINK("https://leetcode.com/problems/maximum-number-of-moves-in-a-grid", "2684. Maximum Number of Moves in a Grid")</f>
        <v>2684. Maximum Number of Moves in a Grid</v>
      </c>
      <c r="B486" t="s">
        <v>7</v>
      </c>
      <c r="C486" t="s">
        <v>113</v>
      </c>
      <c r="D486" t="s">
        <v>44</v>
      </c>
    </row>
    <row r="487" spans="1:4" x14ac:dyDescent="0.45">
      <c r="A487" t="str">
        <f>HYPERLINK("https://leetcode.com/problems/lowest-common-ancestor-of-a-binary-tree", "236. Lowest Common Ancestor of a Binary Tree")</f>
        <v>236. Lowest Common Ancestor of a Binary Tree</v>
      </c>
      <c r="B487" t="s">
        <v>7</v>
      </c>
      <c r="C487" t="s">
        <v>30</v>
      </c>
      <c r="D487" t="s">
        <v>458</v>
      </c>
    </row>
    <row r="488" spans="1:4" x14ac:dyDescent="0.45">
      <c r="A488" t="str">
        <f>HYPERLINK("https://leetcode.com/problems/lemonade-change", "860. Lemonade Change")</f>
        <v>860. Lemonade Change</v>
      </c>
      <c r="B488" t="s">
        <v>4</v>
      </c>
      <c r="C488" t="s">
        <v>431</v>
      </c>
      <c r="D488" t="s">
        <v>34</v>
      </c>
    </row>
    <row r="489" spans="1:4" x14ac:dyDescent="0.45">
      <c r="A489" t="str">
        <f>HYPERLINK("https://leetcode.com/problems/seat-reservation-manager", "1845. Seat Reservation Manager")</f>
        <v>1845. Seat Reservation Manager</v>
      </c>
      <c r="B489" t="s">
        <v>7</v>
      </c>
      <c r="C489" t="s">
        <v>459</v>
      </c>
      <c r="D489" t="s">
        <v>34</v>
      </c>
    </row>
    <row r="490" spans="1:4" x14ac:dyDescent="0.45">
      <c r="A490" t="str">
        <f>HYPERLINK("https://leetcode.com/problems/best-time-to-buy-and-sell-stock-iii", "123. Best Time to Buy and Sell Stock III")</f>
        <v>123. Best Time to Buy and Sell Stock III</v>
      </c>
      <c r="B490" t="s">
        <v>12</v>
      </c>
      <c r="C490" t="s">
        <v>80</v>
      </c>
      <c r="D490" t="s">
        <v>11</v>
      </c>
    </row>
    <row r="491" spans="1:4" x14ac:dyDescent="0.45">
      <c r="A491" t="str">
        <f>HYPERLINK("https://leetcode.com/problems/minimum-total-distance-traveled", "2463. Minimum Total Distance Traveled")</f>
        <v>2463. Minimum Total Distance Traveled</v>
      </c>
      <c r="B491" t="s">
        <v>12</v>
      </c>
      <c r="C491" t="s">
        <v>460</v>
      </c>
      <c r="D491" t="s">
        <v>393</v>
      </c>
    </row>
    <row r="492" spans="1:4" x14ac:dyDescent="0.45">
      <c r="A492" t="str">
        <f>HYPERLINK("https://leetcode.com/problems/online-stock-span", "901. Online Stock Span")</f>
        <v>901. Online Stock Span</v>
      </c>
      <c r="B492" t="s">
        <v>7</v>
      </c>
      <c r="C492" t="s">
        <v>316</v>
      </c>
      <c r="D492" t="s">
        <v>128</v>
      </c>
    </row>
    <row r="493" spans="1:4" x14ac:dyDescent="0.45">
      <c r="A493" t="str">
        <f>HYPERLINK("https://leetcode.com/problems/find-followers-count", "1729. Find Followers Count")</f>
        <v>1729. Find Followers Count</v>
      </c>
      <c r="B493" t="s">
        <v>4</v>
      </c>
      <c r="C493" t="s">
        <v>461</v>
      </c>
      <c r="D493" t="s">
        <v>214</v>
      </c>
    </row>
    <row r="494" spans="1:4" x14ac:dyDescent="0.45">
      <c r="A494" t="str">
        <f>HYPERLINK("https://leetcode.com/problems/string-compression-iii", "3163. String Compression III")</f>
        <v>3163. String Compression III</v>
      </c>
      <c r="B494" t="s">
        <v>7</v>
      </c>
      <c r="C494" t="s">
        <v>188</v>
      </c>
      <c r="D494" t="s">
        <v>462</v>
      </c>
    </row>
    <row r="495" spans="1:4" x14ac:dyDescent="0.45">
      <c r="A495" t="str">
        <f>HYPERLINK("https://leetcode.com/problems/arithmetic-slices-ii---subsequence", "446. Arithmetic Slices II - Subsequence")</f>
        <v>446. Arithmetic Slices II - Subsequence</v>
      </c>
      <c r="B495" t="s">
        <v>12</v>
      </c>
      <c r="C495" t="s">
        <v>307</v>
      </c>
      <c r="D495" t="s">
        <v>44</v>
      </c>
    </row>
    <row r="496" spans="1:4" x14ac:dyDescent="0.45">
      <c r="A496" t="str">
        <f>HYPERLINK("https://leetcode.com/problems/minimum-number-of-changes-to-make-binary-string-beautiful", "2914. Minimum Number of Changes to Make Binary String Beautiful")</f>
        <v>2914. Minimum Number of Changes to Make Binary String Beautiful</v>
      </c>
      <c r="B496" t="s">
        <v>7</v>
      </c>
      <c r="C496" t="s">
        <v>463</v>
      </c>
      <c r="D496" t="s">
        <v>303</v>
      </c>
    </row>
    <row r="497" spans="1:4" x14ac:dyDescent="0.45">
      <c r="A497" t="str">
        <f>HYPERLINK("https://leetcode.com/problems/average-selling-price", "1251. Average Selling Price")</f>
        <v>1251. Average Selling Price</v>
      </c>
      <c r="B497" t="s">
        <v>4</v>
      </c>
      <c r="C497" t="s">
        <v>464</v>
      </c>
      <c r="D497" t="s">
        <v>11</v>
      </c>
    </row>
    <row r="498" spans="1:4" x14ac:dyDescent="0.45">
      <c r="A498" t="str">
        <f>HYPERLINK("https://leetcode.com/problems/find-the-city-with-the-smallest-number-of-neighbors-at-a-threshold-distance", "1334. Find the City With the Smallest Number of Neighbors at a Threshold Distance")</f>
        <v>1334. Find the City With the Smallest Number of Neighbors at a Threshold Distance</v>
      </c>
      <c r="B498" t="s">
        <v>7</v>
      </c>
      <c r="C498" t="s">
        <v>57</v>
      </c>
      <c r="D498" t="s">
        <v>44</v>
      </c>
    </row>
    <row r="499" spans="1:4" x14ac:dyDescent="0.45">
      <c r="A499" t="str">
        <f>HYPERLINK("https://leetcode.com/problems/search-in-rotated-sorted-array-ii", "81. Search in Rotated Sorted Array II")</f>
        <v>81. Search in Rotated Sorted Array II</v>
      </c>
      <c r="B499" t="s">
        <v>7</v>
      </c>
      <c r="C499" t="s">
        <v>465</v>
      </c>
      <c r="D499" t="s">
        <v>76</v>
      </c>
    </row>
    <row r="500" spans="1:4" x14ac:dyDescent="0.45">
      <c r="A500" t="str">
        <f>HYPERLINK("https://leetcode.com/problems/subarray-product-less-than-k", "713. Subarray Product Less Than K")</f>
        <v>713. Subarray Product Less Than K</v>
      </c>
      <c r="B500" t="s">
        <v>7</v>
      </c>
      <c r="C500" t="s">
        <v>466</v>
      </c>
      <c r="D500" t="s">
        <v>467</v>
      </c>
    </row>
    <row r="501" spans="1:4" x14ac:dyDescent="0.45">
      <c r="A501" t="str">
        <f>HYPERLINK("https://leetcode.com/problems/construct-binary-tree-from-inorder-and-postorder-traversal", "106. Construct Binary Tree from Inorder and Postorder Traversal")</f>
        <v>106. Construct Binary Tree from Inorder and Postorder Traversal</v>
      </c>
      <c r="B501" t="s">
        <v>7</v>
      </c>
      <c r="C501" t="s">
        <v>468</v>
      </c>
      <c r="D501" t="s">
        <v>44</v>
      </c>
    </row>
    <row r="502" spans="1:4" x14ac:dyDescent="0.45">
      <c r="A502" t="str">
        <f>HYPERLINK("https://leetcode.com/problems/largest-combination-with-bitwise-and-greater-than-zero", "2275. Largest Combination With Bitwise AND Greater Than Zero")</f>
        <v>2275. Largest Combination With Bitwise AND Greater Than Zero</v>
      </c>
      <c r="B502" t="s">
        <v>7</v>
      </c>
      <c r="C502" t="s">
        <v>469</v>
      </c>
      <c r="D502" t="s">
        <v>61</v>
      </c>
    </row>
    <row r="503" spans="1:4" x14ac:dyDescent="0.45">
      <c r="A503" t="str">
        <f>HYPERLINK("https://leetcode.com/problems/minimum-genetic-mutation", "433. Minimum Genetic Mutation")</f>
        <v>433. Minimum Genetic Mutation</v>
      </c>
      <c r="B503" t="s">
        <v>7</v>
      </c>
      <c r="C503" t="s">
        <v>413</v>
      </c>
      <c r="D503" t="s">
        <v>61</v>
      </c>
    </row>
    <row r="504" spans="1:4" x14ac:dyDescent="0.45">
      <c r="A504" t="str">
        <f>HYPERLINK("https://leetcode.com/problems/customer-placing-the-largest-number-of-orders", "586. Customer Placing the Largest Number of Orders")</f>
        <v>586. Customer Placing the Largest Number of Orders</v>
      </c>
      <c r="B504" t="s">
        <v>4</v>
      </c>
      <c r="C504" t="s">
        <v>457</v>
      </c>
      <c r="D504" t="s">
        <v>44</v>
      </c>
    </row>
    <row r="505" spans="1:4" x14ac:dyDescent="0.45">
      <c r="A505" t="str">
        <f>HYPERLINK("https://leetcode.com/problems/binary-tree-zigzag-level-order-traversal", "103. Binary Tree Zigzag Level Order Traversal")</f>
        <v>103. Binary Tree Zigzag Level Order Traversal</v>
      </c>
      <c r="B505" t="s">
        <v>7</v>
      </c>
      <c r="C505" t="s">
        <v>470</v>
      </c>
      <c r="D505" t="s">
        <v>147</v>
      </c>
    </row>
    <row r="506" spans="1:4" x14ac:dyDescent="0.45">
      <c r="A506" t="str">
        <f>HYPERLINK("https://leetcode.com/problems/partition-array-for-maximum-sum", "1043. Partition Array for Maximum Sum")</f>
        <v>1043. Partition Array for Maximum Sum</v>
      </c>
      <c r="B506" t="s">
        <v>7</v>
      </c>
      <c r="C506" t="s">
        <v>186</v>
      </c>
      <c r="D506" t="s">
        <v>44</v>
      </c>
    </row>
    <row r="507" spans="1:4" x14ac:dyDescent="0.45">
      <c r="A507" t="str">
        <f>HYPERLINK("https://leetcode.com/problems/minimum-array-end", "3133. Minimum Array End")</f>
        <v>3133. Minimum Array End</v>
      </c>
      <c r="B507" t="s">
        <v>7</v>
      </c>
      <c r="C507" t="s">
        <v>242</v>
      </c>
      <c r="D507" t="s">
        <v>234</v>
      </c>
    </row>
    <row r="508" spans="1:4" x14ac:dyDescent="0.45">
      <c r="A508" t="str">
        <f>HYPERLINK("https://leetcode.com/problems/shortest-subarray-with-or-at-least-k-ii", "3097. Shortest Subarray With OR at Least K II")</f>
        <v>3097. Shortest Subarray With OR at Least K II</v>
      </c>
      <c r="B508" t="s">
        <v>7</v>
      </c>
      <c r="C508" t="s">
        <v>317</v>
      </c>
      <c r="D508" t="s">
        <v>309</v>
      </c>
    </row>
    <row r="509" spans="1:4" x14ac:dyDescent="0.45">
      <c r="A509" t="str">
        <f>HYPERLINK("https://leetcode.com/problems/adjacent-increasing-subarrays-detection-ii", "3350. Adjacent Increasing Subarrays Detection II")</f>
        <v>3350. Adjacent Increasing Subarrays Detection II</v>
      </c>
      <c r="B509" t="s">
        <v>7</v>
      </c>
      <c r="C509" t="s">
        <v>471</v>
      </c>
      <c r="D509" t="s">
        <v>44</v>
      </c>
    </row>
    <row r="510" spans="1:4" x14ac:dyDescent="0.45">
      <c r="A510" t="str">
        <f>HYPERLINK("https://leetcode.com/problems/maximum-frequency-of-an-element-after-performing-operations-i", "3346. Maximum Frequency of an Element After Performing Operations I")</f>
        <v>3346. Maximum Frequency of an Element After Performing Operations I</v>
      </c>
      <c r="B510" t="s">
        <v>7</v>
      </c>
      <c r="C510" t="s">
        <v>449</v>
      </c>
      <c r="D510" t="s">
        <v>44</v>
      </c>
    </row>
    <row r="511" spans="1:4" x14ac:dyDescent="0.45">
      <c r="A511" t="str">
        <f>HYPERLINK("https://leetcode.com/problems/maximum-frequency-of-an-element-after-performing-operations-ii", "3347. Maximum Frequency of an Element After Performing Operations II")</f>
        <v>3347. Maximum Frequency of an Element After Performing Operations II</v>
      </c>
      <c r="B511" t="s">
        <v>12</v>
      </c>
      <c r="C511" t="s">
        <v>253</v>
      </c>
      <c r="D511" t="s">
        <v>44</v>
      </c>
    </row>
    <row r="512" spans="1:4" x14ac:dyDescent="0.45">
      <c r="A512" t="str">
        <f>HYPERLINK("https://leetcode.com/problems/adjacent-increasing-subarrays-detection-i", "3349. Adjacent Increasing Subarrays Detection I")</f>
        <v>3349. Adjacent Increasing Subarrays Detection I</v>
      </c>
      <c r="B512" t="s">
        <v>4</v>
      </c>
      <c r="C512" t="s">
        <v>472</v>
      </c>
      <c r="D512" t="s">
        <v>61</v>
      </c>
    </row>
    <row r="513" spans="1:4" x14ac:dyDescent="0.45">
      <c r="A513" t="str">
        <f>HYPERLINK("https://leetcode.com/problems/sum-of-good-subsequences", "3351. Sum of Good Subsequences")</f>
        <v>3351. Sum of Good Subsequences</v>
      </c>
      <c r="B513" t="s">
        <v>12</v>
      </c>
      <c r="C513" t="s">
        <v>473</v>
      </c>
      <c r="D513" t="s">
        <v>44</v>
      </c>
    </row>
    <row r="514" spans="1:4" x14ac:dyDescent="0.45">
      <c r="A514" t="str">
        <f>HYPERLINK("https://leetcode.com/problems/most-beautiful-item-for-each-query", "2070. Most Beautiful Item for Each Query")</f>
        <v>2070. Most Beautiful Item for Each Query</v>
      </c>
      <c r="B514" t="s">
        <v>7</v>
      </c>
      <c r="C514" t="s">
        <v>202</v>
      </c>
      <c r="D514" t="s">
        <v>61</v>
      </c>
    </row>
    <row r="515" spans="1:4" x14ac:dyDescent="0.45">
      <c r="A515" t="str">
        <f>HYPERLINK("https://leetcode.com/problems/nim-game", "292. Nim Game")</f>
        <v>292. Nim Game</v>
      </c>
      <c r="B515" t="s">
        <v>4</v>
      </c>
      <c r="C515" t="s">
        <v>474</v>
      </c>
      <c r="D515" t="s">
        <v>214</v>
      </c>
    </row>
    <row r="516" spans="1:4" x14ac:dyDescent="0.45">
      <c r="A516" t="str">
        <f>HYPERLINK("https://leetcode.com/problems/count-the-number-of-fair-pairs", "2563. Count the Number of Fair Pairs")</f>
        <v>2563. Count the Number of Fair Pairs</v>
      </c>
      <c r="B516" t="s">
        <v>7</v>
      </c>
      <c r="C516" t="s">
        <v>220</v>
      </c>
      <c r="D516" t="s">
        <v>234</v>
      </c>
    </row>
    <row r="517" spans="1:4" x14ac:dyDescent="0.45">
      <c r="A517" t="str">
        <f>HYPERLINK("https://leetcode.com/problems/alternating-groups-ii", "3208. Alternating Groups II")</f>
        <v>3208. Alternating Groups II</v>
      </c>
      <c r="B517" t="s">
        <v>7</v>
      </c>
      <c r="C517" t="s">
        <v>131</v>
      </c>
      <c r="D517" t="s">
        <v>330</v>
      </c>
    </row>
    <row r="518" spans="1:4" x14ac:dyDescent="0.45">
      <c r="A518" t="str">
        <f>HYPERLINK("https://leetcode.com/problems/exclusive-time-of-functions", "636. Exclusive Time of Functions")</f>
        <v>636. Exclusive Time of Functions</v>
      </c>
      <c r="B518" t="s">
        <v>7</v>
      </c>
      <c r="C518" t="s">
        <v>115</v>
      </c>
      <c r="D518" t="s">
        <v>87</v>
      </c>
    </row>
    <row r="519" spans="1:4" x14ac:dyDescent="0.45">
      <c r="A519" t="str">
        <f>HYPERLINK("https://leetcode.com/problems/minimum-number-of-steps-to-make-two-strings-anagram", "1347. Minimum Number of Steps to Make Two Strings Anagram")</f>
        <v>1347. Minimum Number of Steps to Make Two Strings Anagram</v>
      </c>
      <c r="B519" t="s">
        <v>7</v>
      </c>
      <c r="C519" t="s">
        <v>85</v>
      </c>
      <c r="D519" t="s">
        <v>393</v>
      </c>
    </row>
    <row r="520" spans="1:4" x14ac:dyDescent="0.45">
      <c r="A520" t="str">
        <f>HYPERLINK("https://leetcode.com/problems/lowest-common-ancestor-of-a-binary-tree-iii", "1650. Lowest Common Ancestor of a Binary Tree III")</f>
        <v>1650. Lowest Common Ancestor of a Binary Tree III</v>
      </c>
      <c r="B520" t="s">
        <v>7</v>
      </c>
      <c r="C520" t="s">
        <v>475</v>
      </c>
      <c r="D520" t="s">
        <v>87</v>
      </c>
    </row>
    <row r="521" spans="1:4" x14ac:dyDescent="0.45">
      <c r="A521" t="str">
        <f>HYPERLINK("https://leetcode.com/problems/merge-two-binary-trees", "617. Merge Two Binary Trees")</f>
        <v>617. Merge Two Binary Trees</v>
      </c>
      <c r="B521" t="s">
        <v>4</v>
      </c>
      <c r="C521" t="s">
        <v>476</v>
      </c>
      <c r="D521" t="s">
        <v>234</v>
      </c>
    </row>
    <row r="522" spans="1:4" x14ac:dyDescent="0.45">
      <c r="A522" t="str">
        <f>HYPERLINK("https://leetcode.com/problems/minimized-maximum-of-products-distributed-to-any-store", "2064. Minimized Maximum of Products Distributed to Any Store")</f>
        <v>2064. Minimized Maximum of Products Distributed to Any Store</v>
      </c>
      <c r="B522" t="s">
        <v>7</v>
      </c>
      <c r="C522" t="s">
        <v>58</v>
      </c>
      <c r="D522" t="s">
        <v>61</v>
      </c>
    </row>
    <row r="523" spans="1:4" x14ac:dyDescent="0.45">
      <c r="A523" t="str">
        <f>HYPERLINK("https://leetcode.com/problems/day-of-the-week", "1185. Day of the Week")</f>
        <v>1185. Day of the Week</v>
      </c>
      <c r="B523" t="s">
        <v>4</v>
      </c>
      <c r="C523" t="s">
        <v>172</v>
      </c>
      <c r="D523" t="s">
        <v>44</v>
      </c>
    </row>
    <row r="524" spans="1:4" x14ac:dyDescent="0.45">
      <c r="A524" t="str">
        <f>HYPERLINK("https://leetcode.com/problems/maximum-employees-to-be-invited-to-a-meeting", "2127. Maximum Employees to Be Invited to a Meeting")</f>
        <v>2127. Maximum Employees to Be Invited to a Meeting</v>
      </c>
      <c r="B524" t="s">
        <v>12</v>
      </c>
      <c r="C524" t="s">
        <v>357</v>
      </c>
      <c r="D524" t="s">
        <v>44</v>
      </c>
    </row>
    <row r="525" spans="1:4" x14ac:dyDescent="0.45">
      <c r="A525" t="str">
        <f>HYPERLINK("https://leetcode.com/problems/find-the-power-of-k-size-subarrays-i", "3254. Find the Power of K-Size Subarrays I")</f>
        <v>3254. Find the Power of K-Size Subarrays I</v>
      </c>
      <c r="B525" t="s">
        <v>7</v>
      </c>
      <c r="C525" t="s">
        <v>58</v>
      </c>
      <c r="D525" t="s">
        <v>393</v>
      </c>
    </row>
    <row r="526" spans="1:4" x14ac:dyDescent="0.45">
      <c r="A526" t="str">
        <f>HYPERLINK("https://leetcode.com/problems/number-of-submatrices-that-sum-to-target", "1074. Number of Submatrices That Sum to Target")</f>
        <v>1074. Number of Submatrices That Sum to Target</v>
      </c>
      <c r="B526" t="s">
        <v>12</v>
      </c>
      <c r="C526" t="s">
        <v>323</v>
      </c>
      <c r="D526" t="s">
        <v>34</v>
      </c>
    </row>
    <row r="527" spans="1:4" x14ac:dyDescent="0.45">
      <c r="A527" t="str">
        <f>HYPERLINK("https://leetcode.com/problems/shortest-subarray-with-sum-at-least-k", "862. Shortest Subarray with Sum at Least K")</f>
        <v>862. Shortest Subarray with Sum at Least K</v>
      </c>
      <c r="B527" t="s">
        <v>12</v>
      </c>
      <c r="C527" t="s">
        <v>477</v>
      </c>
      <c r="D527" t="s">
        <v>54</v>
      </c>
    </row>
    <row r="528" spans="1:4" x14ac:dyDescent="0.45">
      <c r="A528" t="str">
        <f>HYPERLINK("https://leetcode.com/problems/count-complete-tree-nodes", "222. Count Complete Tree Nodes")</f>
        <v>222. Count Complete Tree Nodes</v>
      </c>
      <c r="B528" t="s">
        <v>4</v>
      </c>
      <c r="C528" t="s">
        <v>478</v>
      </c>
      <c r="D528" t="s">
        <v>11</v>
      </c>
    </row>
    <row r="529" spans="1:4" x14ac:dyDescent="0.45">
      <c r="A529" t="str">
        <f>HYPERLINK("https://leetcode.com/problems/zero-array-transformation-ii", "3356. Zero Array Transformation II")</f>
        <v>3356. Zero Array Transformation II</v>
      </c>
      <c r="B529" t="s">
        <v>7</v>
      </c>
      <c r="C529" t="s">
        <v>331</v>
      </c>
      <c r="D529" t="s">
        <v>20</v>
      </c>
    </row>
    <row r="530" spans="1:4" x14ac:dyDescent="0.45">
      <c r="A530" t="str">
        <f>HYPERLINK("https://leetcode.com/problems/zero-array-transformation-i", "3355. Zero Array Transformation I")</f>
        <v>3355. Zero Array Transformation I</v>
      </c>
      <c r="B530" t="s">
        <v>7</v>
      </c>
      <c r="C530" t="s">
        <v>90</v>
      </c>
      <c r="D530" t="s">
        <v>44</v>
      </c>
    </row>
    <row r="531" spans="1:4" x14ac:dyDescent="0.45">
      <c r="A531" t="str">
        <f>HYPERLINK("https://leetcode.com/problems/defuse-the-bomb", "1652. Defuse the Bomb")</f>
        <v>1652. Defuse the Bomb</v>
      </c>
      <c r="B531" t="s">
        <v>4</v>
      </c>
      <c r="C531" t="s">
        <v>476</v>
      </c>
      <c r="D531" t="s">
        <v>68</v>
      </c>
    </row>
    <row r="532" spans="1:4" x14ac:dyDescent="0.45">
      <c r="A532" t="str">
        <f>HYPERLINK("https://leetcode.com/problems/maximum-sum-of-distinct-subarrays-with-length-k", "2461. Maximum Sum of Distinct Subarrays With Length K")</f>
        <v>2461. Maximum Sum of Distinct Subarrays With Length K</v>
      </c>
      <c r="B532" t="s">
        <v>7</v>
      </c>
      <c r="C532" t="s">
        <v>215</v>
      </c>
      <c r="D532" t="s">
        <v>20</v>
      </c>
    </row>
    <row r="533" spans="1:4" x14ac:dyDescent="0.45">
      <c r="A533" t="str">
        <f>HYPERLINK("https://leetcode.com/problems/take-k-of-each-character-from-left-and-right", "2516. Take K of Each Character From Left and Right")</f>
        <v>2516. Take K of Each Character From Left and Right</v>
      </c>
      <c r="B533" t="s">
        <v>7</v>
      </c>
      <c r="C533" t="s">
        <v>448</v>
      </c>
      <c r="D533" t="s">
        <v>61</v>
      </c>
    </row>
    <row r="534" spans="1:4" x14ac:dyDescent="0.45">
      <c r="A534" t="str">
        <f>HYPERLINK("https://leetcode.com/problems/maximum-gap", "164. Maximum Gap")</f>
        <v>164. Maximum Gap</v>
      </c>
      <c r="B534" t="s">
        <v>7</v>
      </c>
      <c r="C534" t="s">
        <v>83</v>
      </c>
      <c r="D534" t="s">
        <v>44</v>
      </c>
    </row>
    <row r="535" spans="1:4" x14ac:dyDescent="0.45">
      <c r="A535" t="str">
        <f>HYPERLINK("https://leetcode.com/problems/percentage-of-users-attended-a-contest", "1633. Percentage of Users Attended a Contest")</f>
        <v>1633. Percentage of Users Attended a Contest</v>
      </c>
      <c r="B535" t="s">
        <v>4</v>
      </c>
      <c r="C535" t="s">
        <v>479</v>
      </c>
      <c r="D535" t="s">
        <v>68</v>
      </c>
    </row>
    <row r="536" spans="1:4" x14ac:dyDescent="0.45">
      <c r="A536" t="str">
        <f>HYPERLINK("https://leetcode.com/problems/count-unguarded-cells-in-the-grid", "2257. Count Unguarded Cells in the Grid")</f>
        <v>2257. Count Unguarded Cells in the Grid</v>
      </c>
      <c r="B536" t="s">
        <v>7</v>
      </c>
      <c r="C536" t="s">
        <v>358</v>
      </c>
      <c r="D536" t="s">
        <v>44</v>
      </c>
    </row>
    <row r="537" spans="1:4" x14ac:dyDescent="0.45">
      <c r="A537" t="str">
        <f>HYPERLINK("https://leetcode.com/problems/flip-columns-for-maximum-number-of-equal-rows", "1072. Flip Columns For Maximum Number of Equal Rows")</f>
        <v>1072. Flip Columns For Maximum Number of Equal Rows</v>
      </c>
      <c r="B537" t="s">
        <v>7</v>
      </c>
      <c r="C537" t="s">
        <v>480</v>
      </c>
      <c r="D537" t="s">
        <v>91</v>
      </c>
    </row>
    <row r="538" spans="1:4" x14ac:dyDescent="0.45">
      <c r="A538" t="str">
        <f>HYPERLINK("https://leetcode.com/problems/simplify-path", "71. Simplify Path")</f>
        <v>71. Simplify Path</v>
      </c>
      <c r="B538" t="s">
        <v>7</v>
      </c>
      <c r="C538" t="s">
        <v>40</v>
      </c>
      <c r="D538" t="s">
        <v>397</v>
      </c>
    </row>
    <row r="539" spans="1:4" x14ac:dyDescent="0.45">
      <c r="A539" t="str">
        <f>HYPERLINK("https://leetcode.com/problems/maximum-matrix-sum", "1975. Maximum Matrix Sum")</f>
        <v>1975. Maximum Matrix Sum</v>
      </c>
      <c r="B539" t="s">
        <v>7</v>
      </c>
      <c r="C539" t="s">
        <v>468</v>
      </c>
      <c r="D539" t="s">
        <v>214</v>
      </c>
    </row>
    <row r="540" spans="1:4" x14ac:dyDescent="0.45">
      <c r="A540" t="str">
        <f>HYPERLINK("https://leetcode.com/problems/rotating-the-box", "1861. Rotating the Box")</f>
        <v>1861. Rotating the Box</v>
      </c>
      <c r="B540" t="s">
        <v>7</v>
      </c>
      <c r="C540" t="s">
        <v>481</v>
      </c>
      <c r="D540" t="s">
        <v>482</v>
      </c>
    </row>
    <row r="541" spans="1:4" x14ac:dyDescent="0.45">
      <c r="A541" t="str">
        <f>HYPERLINK("https://leetcode.com/problems/find-winner-on-a-tic-tac-toe-game", "1275. Find Winner on a Tic Tac Toe Game")</f>
        <v>1275. Find Winner on a Tic Tac Toe Game</v>
      </c>
      <c r="B541" t="s">
        <v>4</v>
      </c>
      <c r="C541" t="s">
        <v>349</v>
      </c>
      <c r="D541" t="s">
        <v>54</v>
      </c>
    </row>
    <row r="542" spans="1:4" x14ac:dyDescent="0.45">
      <c r="A542" t="str">
        <f>HYPERLINK("https://leetcode.com/problems/sliding-puzzle", "773. Sliding Puzzle")</f>
        <v>773. Sliding Puzzle</v>
      </c>
      <c r="B542" t="s">
        <v>12</v>
      </c>
      <c r="C542" t="s">
        <v>443</v>
      </c>
      <c r="D542" t="s">
        <v>102</v>
      </c>
    </row>
    <row r="543" spans="1:4" x14ac:dyDescent="0.45">
      <c r="A543" t="str">
        <f>HYPERLINK("https://leetcode.com/problems/basic-calculator-ii", "227. Basic Calculator II")</f>
        <v>227. Basic Calculator II</v>
      </c>
      <c r="B543" t="s">
        <v>7</v>
      </c>
      <c r="C543" t="s">
        <v>311</v>
      </c>
      <c r="D543" t="s">
        <v>245</v>
      </c>
    </row>
    <row r="544" spans="1:4" x14ac:dyDescent="0.45">
      <c r="A544" t="str">
        <f>HYPERLINK("https://leetcode.com/problems/shortest-distance-after-road-addition-queries-i", "3243. Shortest Distance After Road Addition Queries I")</f>
        <v>3243. Shortest Distance After Road Addition Queries I</v>
      </c>
      <c r="B544" t="s">
        <v>7</v>
      </c>
      <c r="C544" t="s">
        <v>411</v>
      </c>
      <c r="D544" t="s">
        <v>214</v>
      </c>
    </row>
    <row r="545" spans="1:4" x14ac:dyDescent="0.45">
      <c r="A545" t="str">
        <f>HYPERLINK("https://leetcode.com/problems/construct-binary-tree-from-preorder-and-inorder-traversal", "105. Construct Binary Tree from Preorder and Inorder Traversal")</f>
        <v>105. Construct Binary Tree from Preorder and Inorder Traversal</v>
      </c>
      <c r="B545" t="s">
        <v>7</v>
      </c>
      <c r="C545" t="s">
        <v>56</v>
      </c>
      <c r="D545" t="s">
        <v>234</v>
      </c>
    </row>
    <row r="546" spans="1:4" x14ac:dyDescent="0.45">
      <c r="A546" t="str">
        <f>HYPERLINK("https://leetcode.com/problems/minimum-time-to-visit-a-cell-in-a-grid", "2577. Minimum Time to Visit a Cell In a Grid")</f>
        <v>2577. Minimum Time to Visit a Cell In a Grid</v>
      </c>
      <c r="B546" t="s">
        <v>12</v>
      </c>
      <c r="C546" t="s">
        <v>483</v>
      </c>
      <c r="D546" t="s">
        <v>214</v>
      </c>
    </row>
    <row r="547" spans="1:4" x14ac:dyDescent="0.45">
      <c r="A547" t="str">
        <f>HYPERLINK("https://leetcode.com/problems/triangle", "120. Triangle")</f>
        <v>120. Triangle</v>
      </c>
      <c r="B547" t="s">
        <v>7</v>
      </c>
      <c r="C547" t="s">
        <v>113</v>
      </c>
      <c r="D547" t="s">
        <v>68</v>
      </c>
    </row>
    <row r="548" spans="1:4" x14ac:dyDescent="0.45">
      <c r="A548" t="str">
        <f>HYPERLINK("https://leetcode.com/problems/shortest-distance-to-a-character", "821. Shortest Distance to a Character")</f>
        <v>821. Shortest Distance to a Character</v>
      </c>
      <c r="B548" t="s">
        <v>4</v>
      </c>
      <c r="C548" t="s">
        <v>158</v>
      </c>
      <c r="D548" t="s">
        <v>44</v>
      </c>
    </row>
    <row r="549" spans="1:4" x14ac:dyDescent="0.45">
      <c r="A549" t="str">
        <f>HYPERLINK("https://leetcode.com/problems/nested-list-weight-sum-ii", "364. Nested List Weight Sum II")</f>
        <v>364. Nested List Weight Sum II</v>
      </c>
      <c r="B549" t="s">
        <v>7</v>
      </c>
      <c r="C549" t="s">
        <v>347</v>
      </c>
      <c r="D549" t="s">
        <v>104</v>
      </c>
    </row>
    <row r="550" spans="1:4" x14ac:dyDescent="0.45">
      <c r="A550" t="str">
        <f>HYPERLINK("https://leetcode.com/problems/number-of-steps-to-reduce-a-number-to-zero", "1342. Number of Steps to Reduce a Number to Zero")</f>
        <v>1342. Number of Steps to Reduce a Number to Zero</v>
      </c>
      <c r="B550" t="s">
        <v>4</v>
      </c>
      <c r="C550" t="s">
        <v>484</v>
      </c>
      <c r="D550" t="s">
        <v>44</v>
      </c>
    </row>
    <row r="551" spans="1:4" x14ac:dyDescent="0.45">
      <c r="A551" t="str">
        <f>HYPERLINK("https://leetcode.com/problems/identify-the-largest-outlier-in-an-array", "3371. Identify the Largest Outlier in an Array")</f>
        <v>3371. Identify the Largest Outlier in an Array</v>
      </c>
      <c r="B551" t="s">
        <v>7</v>
      </c>
      <c r="C551" t="s">
        <v>485</v>
      </c>
      <c r="D551" t="s">
        <v>403</v>
      </c>
    </row>
    <row r="552" spans="1:4" x14ac:dyDescent="0.45">
      <c r="A552" t="str">
        <f>HYPERLINK("https://leetcode.com/problems/number-of-substrings-containing-all-three-characters", "1358. Number of Substrings Containing All Three Characters")</f>
        <v>1358. Number of Substrings Containing All Three Characters</v>
      </c>
      <c r="B552" t="s">
        <v>7</v>
      </c>
      <c r="C552" t="s">
        <v>443</v>
      </c>
      <c r="D552" t="s">
        <v>20</v>
      </c>
    </row>
    <row r="553" spans="1:4" x14ac:dyDescent="0.45">
      <c r="A553" t="str">
        <f>HYPERLINK("https://leetcode.com/problems/adding-spaces-to-a-string", "2109. Adding Spaces to a String")</f>
        <v>2109. Adding Spaces to a String</v>
      </c>
      <c r="B553" t="s">
        <v>7</v>
      </c>
      <c r="C553" t="s">
        <v>193</v>
      </c>
      <c r="D553" t="s">
        <v>309</v>
      </c>
    </row>
    <row r="554" spans="1:4" x14ac:dyDescent="0.45">
      <c r="A554" t="str">
        <f>HYPERLINK("https://leetcode.com/problems/zero-array-transformation-iii", "3362. Zero Array Transformation III")</f>
        <v>3362. Zero Array Transformation III</v>
      </c>
      <c r="B554" t="s">
        <v>7</v>
      </c>
      <c r="C554" t="s">
        <v>327</v>
      </c>
      <c r="D554" t="s">
        <v>44</v>
      </c>
    </row>
    <row r="555" spans="1:4" x14ac:dyDescent="0.45">
      <c r="A555" t="str">
        <f>HYPERLINK("https://leetcode.com/problems/flatten-a-multilevel-doubly-linked-list", "430. Flatten a Multilevel Doubly Linked List")</f>
        <v>430. Flatten a Multilevel Doubly Linked List</v>
      </c>
      <c r="B555" t="s">
        <v>7</v>
      </c>
      <c r="C555" t="s">
        <v>278</v>
      </c>
      <c r="D555" t="s">
        <v>234</v>
      </c>
    </row>
    <row r="556" spans="1:4" x14ac:dyDescent="0.45">
      <c r="A556" t="str">
        <f>HYPERLINK("https://leetcode.com/problems/create-target-array-in-the-given-order", "1389. Create Target Array in the Given Order")</f>
        <v>1389. Create Target Array in the Given Order</v>
      </c>
      <c r="B556" t="s">
        <v>4</v>
      </c>
      <c r="C556" t="s">
        <v>486</v>
      </c>
      <c r="D556" t="s">
        <v>44</v>
      </c>
    </row>
    <row r="557" spans="1:4" x14ac:dyDescent="0.45">
      <c r="A557" t="str">
        <f>HYPERLINK("https://leetcode.com/problems/convert-binary-number-in-a-linked-list-to-integer", "1290. Convert Binary Number in a Linked List to Integer")</f>
        <v>1290. Convert Binary Number in a Linked List to Integer</v>
      </c>
      <c r="B557" t="s">
        <v>4</v>
      </c>
      <c r="C557" t="s">
        <v>487</v>
      </c>
      <c r="D557" t="s">
        <v>214</v>
      </c>
    </row>
    <row r="558" spans="1:4" x14ac:dyDescent="0.45">
      <c r="A558" t="str">
        <f>HYPERLINK("https://leetcode.com/problems/rearrange-array-elements-by-sign", "2149. Rearrange Array Elements by Sign")</f>
        <v>2149. Rearrange Array Elements by Sign</v>
      </c>
      <c r="B558" t="s">
        <v>7</v>
      </c>
      <c r="C558" t="s">
        <v>420</v>
      </c>
      <c r="D558" t="s">
        <v>54</v>
      </c>
    </row>
    <row r="559" spans="1:4" x14ac:dyDescent="0.45">
      <c r="A559" t="str">
        <f>HYPERLINK("https://leetcode.com/problems/convert-sorted-array-to-binary-search-tree", "108. Convert Sorted Array to Binary Search Tree")</f>
        <v>108. Convert Sorted Array to Binary Search Tree</v>
      </c>
      <c r="B559" t="s">
        <v>4</v>
      </c>
      <c r="C559" t="s">
        <v>265</v>
      </c>
      <c r="D559" t="s">
        <v>54</v>
      </c>
    </row>
    <row r="560" spans="1:4" x14ac:dyDescent="0.45">
      <c r="A560" t="str">
        <f>HYPERLINK("https://leetcode.com/problems/number-of-dice-rolls-with-target-sum", "1155. Number of Dice Rolls With Target Sum")</f>
        <v>1155. Number of Dice Rolls With Target Sum</v>
      </c>
      <c r="B560" t="s">
        <v>7</v>
      </c>
      <c r="C560" t="s">
        <v>488</v>
      </c>
      <c r="D560" t="s">
        <v>44</v>
      </c>
    </row>
    <row r="561" spans="1:4" x14ac:dyDescent="0.45">
      <c r="A561" t="str">
        <f>HYPERLINK("https://leetcode.com/problems/combination-sum-iii", "216. Combination Sum III")</f>
        <v>216. Combination Sum III</v>
      </c>
      <c r="B561" t="s">
        <v>7</v>
      </c>
      <c r="C561" t="s">
        <v>489</v>
      </c>
      <c r="D561" t="s">
        <v>61</v>
      </c>
    </row>
    <row r="562" spans="1:4" x14ac:dyDescent="0.45">
      <c r="A562" t="str">
        <f>HYPERLINK("https://leetcode.com/problems/minimum-limit-of-balls-in-a-bag", "1760. Minimum Limit of Balls in a Bag")</f>
        <v>1760. Minimum Limit of Balls in a Bag</v>
      </c>
      <c r="B562" t="s">
        <v>7</v>
      </c>
      <c r="C562" t="s">
        <v>490</v>
      </c>
      <c r="D562" t="s">
        <v>234</v>
      </c>
    </row>
    <row r="563" spans="1:4" x14ac:dyDescent="0.45">
      <c r="A563" t="str">
        <f>HYPERLINK("https://leetcode.com/problems/invalid-tweets", "1683. Invalid Tweets")</f>
        <v>1683. Invalid Tweets</v>
      </c>
      <c r="B563" t="s">
        <v>4</v>
      </c>
      <c r="C563" t="s">
        <v>484</v>
      </c>
      <c r="D563" t="s">
        <v>54</v>
      </c>
    </row>
    <row r="564" spans="1:4" x14ac:dyDescent="0.45">
      <c r="A564" t="str">
        <f>HYPERLINK("https://leetcode.com/problems/count-hills-and-valleys-in-an-array", "2210. Count Hills and Valleys in an Array")</f>
        <v>2210. Count Hills and Valleys in an Array</v>
      </c>
      <c r="B564" t="s">
        <v>4</v>
      </c>
      <c r="C564" t="s">
        <v>488</v>
      </c>
      <c r="D564" t="s">
        <v>44</v>
      </c>
    </row>
    <row r="565" spans="1:4" x14ac:dyDescent="0.45">
      <c r="A565" t="str">
        <f>HYPERLINK("https://leetcode.com/problems/reveal-cards-in-increasing-order", "950. Reveal Cards In Increasing Order")</f>
        <v>950. Reveal Cards In Increasing Order</v>
      </c>
      <c r="B565" t="s">
        <v>7</v>
      </c>
      <c r="C565" t="s">
        <v>491</v>
      </c>
      <c r="D565" t="s">
        <v>44</v>
      </c>
    </row>
    <row r="566" spans="1:4" x14ac:dyDescent="0.45">
      <c r="A566" t="str">
        <f>HYPERLINK("https://leetcode.com/problems/two-best-non-overlapping-events", "2054. Two Best Non-Overlapping Events")</f>
        <v>2054. Two Best Non-Overlapping Events</v>
      </c>
      <c r="B566" t="s">
        <v>7</v>
      </c>
      <c r="C566" t="s">
        <v>278</v>
      </c>
      <c r="D566" t="s">
        <v>91</v>
      </c>
    </row>
    <row r="567" spans="1:4" x14ac:dyDescent="0.45">
      <c r="A567" t="str">
        <f>HYPERLINK("https://leetcode.com/problems/maximum-area-rectangle-with-point-constraints-i", "3380. Maximum Area Rectangle With Point Constraints I")</f>
        <v>3380. Maximum Area Rectangle With Point Constraints I</v>
      </c>
      <c r="B567" t="s">
        <v>7</v>
      </c>
      <c r="C567" t="s">
        <v>109</v>
      </c>
      <c r="D567" t="s">
        <v>44</v>
      </c>
    </row>
    <row r="568" spans="1:4" x14ac:dyDescent="0.45">
      <c r="A568" t="str">
        <f>HYPERLINK("https://leetcode.com/problems/design-twitter", "355. Design Twitter")</f>
        <v>355. Design Twitter</v>
      </c>
      <c r="B568" t="s">
        <v>7</v>
      </c>
      <c r="C568" t="s">
        <v>492</v>
      </c>
      <c r="D568" t="s">
        <v>61</v>
      </c>
    </row>
    <row r="569" spans="1:4" x14ac:dyDescent="0.45">
      <c r="A569" t="str">
        <f>HYPERLINK("https://leetcode.com/problems/count-and-say", "38. Count and Say")</f>
        <v>38. Count and Say</v>
      </c>
      <c r="B569" t="s">
        <v>7</v>
      </c>
      <c r="C569" t="s">
        <v>493</v>
      </c>
      <c r="D569" t="s">
        <v>54</v>
      </c>
    </row>
    <row r="570" spans="1:4" x14ac:dyDescent="0.45">
      <c r="A570" t="str">
        <f>HYPERLINK("https://leetcode.com/problems/arranging-coins", "441. Arranging Coins")</f>
        <v>441. Arranging Coins</v>
      </c>
      <c r="B570" t="s">
        <v>4</v>
      </c>
      <c r="C570" t="s">
        <v>368</v>
      </c>
      <c r="D570" t="s">
        <v>234</v>
      </c>
    </row>
    <row r="571" spans="1:4" x14ac:dyDescent="0.45">
      <c r="A571" t="str">
        <f>HYPERLINK("https://leetcode.com/problems/counting-bits", "338. Counting Bits")</f>
        <v>338. Counting Bits</v>
      </c>
      <c r="B571" t="s">
        <v>4</v>
      </c>
      <c r="C571" t="s">
        <v>494</v>
      </c>
      <c r="D571" t="s">
        <v>91</v>
      </c>
    </row>
    <row r="572" spans="1:4" x14ac:dyDescent="0.45">
      <c r="A572" t="str">
        <f>HYPERLINK("https://leetcode.com/problems/delete-node-in-a-bst", "450. Delete Node in a BST")</f>
        <v>450. Delete Node in a BST</v>
      </c>
      <c r="B572" t="s">
        <v>7</v>
      </c>
      <c r="C572" t="s">
        <v>374</v>
      </c>
      <c r="D572" t="s">
        <v>495</v>
      </c>
    </row>
    <row r="573" spans="1:4" x14ac:dyDescent="0.45">
      <c r="A573" t="str">
        <f>HYPERLINK("https://leetcode.com/problems/binary-tree-preorder-traversal", "144. Binary Tree Preorder Traversal")</f>
        <v>144. Binary Tree Preorder Traversal</v>
      </c>
      <c r="B573" t="s">
        <v>4</v>
      </c>
      <c r="C573" t="s">
        <v>294</v>
      </c>
      <c r="D573" t="s">
        <v>34</v>
      </c>
    </row>
    <row r="574" spans="1:4" x14ac:dyDescent="0.45">
      <c r="A574" t="str">
        <f>HYPERLINK("https://leetcode.com/problems/integer-break", "343. Integer Break")</f>
        <v>343. Integer Break</v>
      </c>
      <c r="B574" t="s">
        <v>7</v>
      </c>
      <c r="C574" t="s">
        <v>373</v>
      </c>
      <c r="D574" t="s">
        <v>44</v>
      </c>
    </row>
    <row r="575" spans="1:4" x14ac:dyDescent="0.45">
      <c r="A575" t="str">
        <f>HYPERLINK("https://leetcode.com/problems/brick-wall", "554. Brick Wall")</f>
        <v>554. Brick Wall</v>
      </c>
      <c r="B575" t="s">
        <v>7</v>
      </c>
      <c r="C575" t="s">
        <v>163</v>
      </c>
      <c r="D575" t="s">
        <v>44</v>
      </c>
    </row>
    <row r="576" spans="1:4" x14ac:dyDescent="0.45">
      <c r="A576" t="str">
        <f>HYPERLINK("https://leetcode.com/problems/take-gifts-from-the-richest-pile", "2558. Take Gifts From the Richest Pile")</f>
        <v>2558. Take Gifts From the Richest Pile</v>
      </c>
      <c r="B576" t="s">
        <v>4</v>
      </c>
      <c r="C576" t="s">
        <v>376</v>
      </c>
      <c r="D576" t="s">
        <v>34</v>
      </c>
    </row>
    <row r="577" spans="1:4" x14ac:dyDescent="0.45">
      <c r="A577" t="str">
        <f>HYPERLINK("https://leetcode.com/problems/find-the-minimum-and-maximum-number-of-nodes-between-critical-points", "2058. Find the Minimum and Maximum Number of Nodes Between Critical Points")</f>
        <v>2058. Find the Minimum and Maximum Number of Nodes Between Critical Points</v>
      </c>
      <c r="B577" t="s">
        <v>7</v>
      </c>
      <c r="C577" t="s">
        <v>398</v>
      </c>
      <c r="D577" t="s">
        <v>330</v>
      </c>
    </row>
    <row r="578" spans="1:4" x14ac:dyDescent="0.45">
      <c r="A578" t="str">
        <f>HYPERLINK("https://leetcode.com/problems/clear-digits", "3174. Clear Digits")</f>
        <v>3174. Clear Digits</v>
      </c>
      <c r="B578" t="s">
        <v>4</v>
      </c>
      <c r="C578" t="s">
        <v>496</v>
      </c>
      <c r="D578" t="s">
        <v>20</v>
      </c>
    </row>
    <row r="579" spans="1:4" x14ac:dyDescent="0.45">
      <c r="A579" t="str">
        <f>HYPERLINK("https://leetcode.com/problems/max-number-of-k-sum-pairs", "1679. Max Number of K-Sum Pairs")</f>
        <v>1679. Max Number of K-Sum Pairs</v>
      </c>
      <c r="B579" t="s">
        <v>7</v>
      </c>
      <c r="C579" t="s">
        <v>287</v>
      </c>
      <c r="D579" t="s">
        <v>20</v>
      </c>
    </row>
    <row r="580" spans="1:4" x14ac:dyDescent="0.45">
      <c r="A580" t="str">
        <f>HYPERLINK("https://leetcode.com/problems/find-score-of-an-array-after-marking-all-elements", "2593. Find Score of an Array After Marking All Elements")</f>
        <v>2593. Find Score of an Array After Marking All Elements</v>
      </c>
      <c r="B580" t="s">
        <v>7</v>
      </c>
      <c r="C580" t="s">
        <v>185</v>
      </c>
      <c r="D580" t="s">
        <v>20</v>
      </c>
    </row>
    <row r="581" spans="1:4" x14ac:dyDescent="0.45">
      <c r="A581" t="str">
        <f>HYPERLINK("https://leetcode.com/problems/assign-cookies", "455. Assign Cookies")</f>
        <v>455. Assign Cookies</v>
      </c>
      <c r="B581" t="s">
        <v>4</v>
      </c>
      <c r="C581" t="s">
        <v>497</v>
      </c>
      <c r="D581" t="s">
        <v>54</v>
      </c>
    </row>
    <row r="582" spans="1:4" x14ac:dyDescent="0.45">
      <c r="A582" t="str">
        <f>HYPERLINK("https://leetcode.com/problems/4sum-ii", "454. 4Sum II")</f>
        <v>454. 4Sum II</v>
      </c>
      <c r="B582" t="s">
        <v>7</v>
      </c>
      <c r="C582" t="s">
        <v>251</v>
      </c>
      <c r="D582" t="s">
        <v>44</v>
      </c>
    </row>
    <row r="583" spans="1:4" x14ac:dyDescent="0.45">
      <c r="A583" t="str">
        <f>HYPERLINK("https://leetcode.com/problems/insertion-sort-list", "147. Insertion Sort List")</f>
        <v>147. Insertion Sort List</v>
      </c>
      <c r="B583" t="s">
        <v>7</v>
      </c>
      <c r="C583" t="s">
        <v>287</v>
      </c>
      <c r="D583" t="s">
        <v>44</v>
      </c>
    </row>
    <row r="584" spans="1:4" x14ac:dyDescent="0.45">
      <c r="A584" t="str">
        <f>HYPERLINK("https://leetcode.com/problems/minimum-absolute-difference", "1200. Minimum Absolute Difference")</f>
        <v>1200. Minimum Absolute Difference</v>
      </c>
      <c r="B584" t="s">
        <v>4</v>
      </c>
      <c r="C584" t="s">
        <v>498</v>
      </c>
      <c r="D584" t="s">
        <v>499</v>
      </c>
    </row>
    <row r="585" spans="1:4" x14ac:dyDescent="0.45">
      <c r="A585" t="str">
        <f>HYPERLINK("https://leetcode.com/problems/maximum-average-pass-ratio", "1792. Maximum Average Pass Ratio")</f>
        <v>1792. Maximum Average Pass Ratio</v>
      </c>
      <c r="B585" t="s">
        <v>7</v>
      </c>
      <c r="C585" t="s">
        <v>489</v>
      </c>
      <c r="D585" t="s">
        <v>61</v>
      </c>
    </row>
    <row r="586" spans="1:4" x14ac:dyDescent="0.45">
      <c r="A586" t="str">
        <f>HYPERLINK("https://leetcode.com/problems/delete-the-middle-node-of-a-linked-list", "2095. Delete the Middle Node of a Linked List")</f>
        <v>2095. Delete the Middle Node of a Linked List</v>
      </c>
      <c r="B586" t="s">
        <v>7</v>
      </c>
      <c r="C586" t="s">
        <v>354</v>
      </c>
      <c r="D586" t="s">
        <v>44</v>
      </c>
    </row>
    <row r="587" spans="1:4" x14ac:dyDescent="0.45">
      <c r="A587" t="str">
        <f>HYPERLINK("https://leetcode.com/problems/construct-string-with-repeat-limit", "2182. Construct String With Repeat Limit")</f>
        <v>2182. Construct String With Repeat Limit</v>
      </c>
      <c r="B587" t="s">
        <v>7</v>
      </c>
      <c r="C587" t="s">
        <v>500</v>
      </c>
      <c r="D587" t="s">
        <v>44</v>
      </c>
    </row>
    <row r="588" spans="1:4" x14ac:dyDescent="0.45">
      <c r="A588" t="str">
        <f>HYPERLINK("https://leetcode.com/problems/finding-3-digit-even-numbers", "2094. Finding 3-Digit Even Numbers")</f>
        <v>2094. Finding 3-Digit Even Numbers</v>
      </c>
      <c r="B588" t="s">
        <v>4</v>
      </c>
      <c r="C588" t="s">
        <v>143</v>
      </c>
      <c r="D588" t="s">
        <v>44</v>
      </c>
    </row>
    <row r="589" spans="1:4" x14ac:dyDescent="0.45">
      <c r="A589" t="str">
        <f>HYPERLINK("https://leetcode.com/problems/final-prices-with-a-special-discount-in-a-shop", "1475. Final Prices With a Special Discount in a Shop")</f>
        <v>1475. Final Prices With a Special Discount in a Shop</v>
      </c>
      <c r="B589" t="s">
        <v>4</v>
      </c>
      <c r="C589" t="s">
        <v>491</v>
      </c>
      <c r="D589" t="s">
        <v>44</v>
      </c>
    </row>
    <row r="590" spans="1:4" x14ac:dyDescent="0.45">
      <c r="A590" t="str">
        <f>HYPERLINK("https://leetcode.com/problems/shuffle-an-array", "384. Shuffle an Array")</f>
        <v>384. Shuffle an Array</v>
      </c>
      <c r="B590" t="s">
        <v>7</v>
      </c>
      <c r="C590" t="s">
        <v>113</v>
      </c>
      <c r="D590" t="s">
        <v>501</v>
      </c>
    </row>
    <row r="591" spans="1:4" x14ac:dyDescent="0.45">
      <c r="A591" t="str">
        <f>HYPERLINK("https://leetcode.com/problems/remove-nodes-from-linked-list", "2487. Remove Nodes From Linked List")</f>
        <v>2487. Remove Nodes From Linked List</v>
      </c>
      <c r="B591" t="s">
        <v>7</v>
      </c>
      <c r="C591" t="s">
        <v>502</v>
      </c>
      <c r="D591" t="s">
        <v>44</v>
      </c>
    </row>
    <row r="592" spans="1:4" x14ac:dyDescent="0.45">
      <c r="A592" t="str">
        <f>HYPERLINK("https://leetcode.com/problems/reverse-odd-levels-of-binary-tree", "2415. Reverse Odd Levels of Binary Tree")</f>
        <v>2415. Reverse Odd Levels of Binary Tree</v>
      </c>
      <c r="B592" t="s">
        <v>7</v>
      </c>
      <c r="C592" t="s">
        <v>503</v>
      </c>
      <c r="D592" t="s">
        <v>44</v>
      </c>
    </row>
    <row r="593" spans="1:4" x14ac:dyDescent="0.45">
      <c r="A593" t="str">
        <f>HYPERLINK("https://leetcode.com/problems/check-if-a-word-occurs-as-a-prefix-of-any-word-in-a-sentence", "1455. Check If a Word Occurs As a Prefix of Any Word in a Sentence")</f>
        <v>1455. Check If a Word Occurs As a Prefix of Any Word in a Sentence</v>
      </c>
      <c r="B593" t="s">
        <v>4</v>
      </c>
      <c r="C593" t="s">
        <v>504</v>
      </c>
      <c r="D593" t="s">
        <v>91</v>
      </c>
    </row>
    <row r="594" spans="1:4" x14ac:dyDescent="0.45">
      <c r="A594" t="str">
        <f>HYPERLINK("https://leetcode.com/problems/find-building-where-alice-and-bob-can-meet", "2940. Find Building Where Alice and Bob Can Meet")</f>
        <v>2940. Find Building Where Alice and Bob Can Meet</v>
      </c>
      <c r="B594" t="s">
        <v>12</v>
      </c>
      <c r="C594" t="s">
        <v>505</v>
      </c>
      <c r="D594" t="s">
        <v>61</v>
      </c>
    </row>
    <row r="595" spans="1:4" x14ac:dyDescent="0.45">
      <c r="A595" t="str">
        <f>HYPERLINK("https://leetcode.com/problems/minimum-number-of-operations-to-sort-a-binary-tree-by-level", "2471. Minimum Number of Operations to Sort a Binary Tree by Level")</f>
        <v>2471. Minimum Number of Operations to Sort a Binary Tree by Level</v>
      </c>
      <c r="B595" t="s">
        <v>7</v>
      </c>
      <c r="C595" t="s">
        <v>502</v>
      </c>
      <c r="D595" t="s">
        <v>61</v>
      </c>
    </row>
    <row r="596" spans="1:4" x14ac:dyDescent="0.45">
      <c r="A596" t="str">
        <f>HYPERLINK("https://leetcode.com/problems/find-minimum-diameter-after-merging-two-trees", "3203. Find Minimum Diameter After Merging Two Trees")</f>
        <v>3203. Find Minimum Diameter After Merging Two Trees</v>
      </c>
      <c r="B596" t="s">
        <v>12</v>
      </c>
      <c r="C596" t="s">
        <v>261</v>
      </c>
      <c r="D596" t="s">
        <v>44</v>
      </c>
    </row>
    <row r="597" spans="1:4" x14ac:dyDescent="0.45">
      <c r="A597" t="str">
        <f>HYPERLINK("https://leetcode.com/problems/find-largest-value-in-each-tree-row", "515. Find Largest Value in Each Tree Row")</f>
        <v>515. Find Largest Value in Each Tree Row</v>
      </c>
      <c r="B597" t="s">
        <v>7</v>
      </c>
      <c r="C597" t="s">
        <v>506</v>
      </c>
      <c r="D597" t="s">
        <v>14</v>
      </c>
    </row>
    <row r="598" spans="1:4" x14ac:dyDescent="0.45">
      <c r="A598" t="str">
        <f>HYPERLINK("https://leetcode.com/problems/project-employees-i", "1075. Project Employees I")</f>
        <v>1075. Project Employees I</v>
      </c>
      <c r="B598" t="s">
        <v>4</v>
      </c>
      <c r="C598" t="s">
        <v>347</v>
      </c>
      <c r="D598" t="s">
        <v>44</v>
      </c>
    </row>
    <row r="599" spans="1:4" x14ac:dyDescent="0.45">
      <c r="A599" t="str">
        <f>HYPERLINK("https://leetcode.com/problems/spiral-matrix-ii", "59. Spiral Matrix II")</f>
        <v>59. Spiral Matrix II</v>
      </c>
      <c r="B599" t="s">
        <v>7</v>
      </c>
      <c r="C599" t="s">
        <v>507</v>
      </c>
      <c r="D599" t="s">
        <v>508</v>
      </c>
    </row>
    <row r="600" spans="1:4" x14ac:dyDescent="0.45">
      <c r="A600" t="str">
        <f>HYPERLINK("https://leetcode.com/problems/minimum-insertion-steps-to-make-a-string-palindrome", "1312. Minimum Insertion Steps to Make a String Palindrome")</f>
        <v>1312. Minimum Insertion Steps to Make a String Palindrome</v>
      </c>
      <c r="B600" t="s">
        <v>12</v>
      </c>
      <c r="C600" t="s">
        <v>158</v>
      </c>
      <c r="D600" t="s">
        <v>44</v>
      </c>
    </row>
    <row r="601" spans="1:4" x14ac:dyDescent="0.45">
      <c r="A601" t="str">
        <f>HYPERLINK("https://leetcode.com/problems/palindromic-substrings", "647. Palindromic Substrings")</f>
        <v>647. Palindromic Substrings</v>
      </c>
      <c r="B601" t="s">
        <v>7</v>
      </c>
      <c r="C601" t="s">
        <v>509</v>
      </c>
      <c r="D601" t="s">
        <v>510</v>
      </c>
    </row>
    <row r="602" spans="1:4" x14ac:dyDescent="0.45">
      <c r="A602" t="str">
        <f>HYPERLINK("https://leetcode.com/problems/smallest-string-with-swaps", "1202. Smallest String With Swaps")</f>
        <v>1202. Smallest String With Swaps</v>
      </c>
      <c r="B602" t="s">
        <v>7</v>
      </c>
      <c r="C602" t="s">
        <v>270</v>
      </c>
      <c r="D602" t="s">
        <v>44</v>
      </c>
    </row>
    <row r="603" spans="1:4" x14ac:dyDescent="0.45">
      <c r="A603" t="str">
        <f>HYPERLINK("https://leetcode.com/problems/subtract-the-product-and-sum-of-digits-of-an-integer", "1281. Subtract the Product and Sum of Digits of an Integer")</f>
        <v>1281. Subtract the Product and Sum of Digits of an Integer</v>
      </c>
      <c r="B603" t="s">
        <v>4</v>
      </c>
      <c r="C603" t="s">
        <v>511</v>
      </c>
      <c r="D603" t="s">
        <v>44</v>
      </c>
    </row>
    <row r="604" spans="1:4" x14ac:dyDescent="0.45">
      <c r="A604" t="str">
        <f>HYPERLINK("https://leetcode.com/problems/number-of-ways-to-form-a-target-string-given-a-dictionary", "1639. Number of Ways to Form a Target String Given a Dictionary")</f>
        <v>1639. Number of Ways to Form a Target String Given a Dictionary</v>
      </c>
      <c r="B604" t="s">
        <v>12</v>
      </c>
      <c r="C604" t="s">
        <v>422</v>
      </c>
      <c r="D604" t="s">
        <v>34</v>
      </c>
    </row>
    <row r="605" spans="1:4" x14ac:dyDescent="0.45">
      <c r="A605" t="str">
        <f>HYPERLINK("https://leetcode.com/problems/count-special-subsequences", "3404. Count Special Subsequences")</f>
        <v>3404. Count Special Subsequences</v>
      </c>
      <c r="B605" t="s">
        <v>7</v>
      </c>
      <c r="C605" t="s">
        <v>512</v>
      </c>
      <c r="D605" t="s">
        <v>44</v>
      </c>
    </row>
    <row r="606" spans="1:4" x14ac:dyDescent="0.45">
      <c r="A606" t="str">
        <f>HYPERLINK("https://leetcode.com/problems/find-common-characters", "1002. Find Common Characters")</f>
        <v>1002. Find Common Characters</v>
      </c>
      <c r="B606" t="s">
        <v>4</v>
      </c>
      <c r="C606" t="s">
        <v>433</v>
      </c>
      <c r="D606" t="s">
        <v>393</v>
      </c>
    </row>
    <row r="607" spans="1:4" x14ac:dyDescent="0.45">
      <c r="A607" t="str">
        <f>HYPERLINK("https://leetcode.com/problems/convert-sorted-list-to-binary-search-tree", "109. Convert Sorted List to Binary Search Tree")</f>
        <v>109. Convert Sorted List to Binary Search Tree</v>
      </c>
      <c r="B607" t="s">
        <v>7</v>
      </c>
      <c r="C607" t="s">
        <v>513</v>
      </c>
      <c r="D607" t="s">
        <v>68</v>
      </c>
    </row>
    <row r="608" spans="1:4" x14ac:dyDescent="0.45">
      <c r="A608" t="str">
        <f>HYPERLINK("https://leetcode.com/problems/swapping-nodes-in-a-linked-list", "1721. Swapping Nodes in a Linked List")</f>
        <v>1721. Swapping Nodes in a Linked List</v>
      </c>
      <c r="B608" t="s">
        <v>7</v>
      </c>
      <c r="C608" t="s">
        <v>381</v>
      </c>
      <c r="D608" t="s">
        <v>61</v>
      </c>
    </row>
    <row r="609" spans="1:4" x14ac:dyDescent="0.45">
      <c r="A609" t="str">
        <f>HYPERLINK("https://leetcode.com/problems/detect-cycles-in-2d-grid", "1559. Detect Cycles in 2D Grid")</f>
        <v>1559. Detect Cycles in 2D Grid</v>
      </c>
      <c r="B609" t="s">
        <v>7</v>
      </c>
      <c r="C609" t="s">
        <v>282</v>
      </c>
      <c r="D609" t="s">
        <v>61</v>
      </c>
    </row>
    <row r="610" spans="1:4" x14ac:dyDescent="0.45">
      <c r="A610" t="str">
        <f>HYPERLINK("https://leetcode.com/problems/minimum-number-of-arrows-to-burst-balloons", "452. Minimum Number of Arrows to Burst Balloons")</f>
        <v>452. Minimum Number of Arrows to Burst Balloons</v>
      </c>
      <c r="B610" t="s">
        <v>7</v>
      </c>
      <c r="C610" t="s">
        <v>447</v>
      </c>
      <c r="D610" t="s">
        <v>514</v>
      </c>
    </row>
    <row r="611" spans="1:4" x14ac:dyDescent="0.45">
      <c r="A611" t="str">
        <f>HYPERLINK("https://leetcode.com/problems/number-of-ways-to-split-array", "2270. Number of Ways to Split Array")</f>
        <v>2270. Number of Ways to Split Array</v>
      </c>
      <c r="B611" t="s">
        <v>7</v>
      </c>
      <c r="C611" t="s">
        <v>326</v>
      </c>
      <c r="D611" t="s">
        <v>54</v>
      </c>
    </row>
    <row r="612" spans="1:4" x14ac:dyDescent="0.45">
      <c r="A612" t="str">
        <f>HYPERLINK("https://leetcode.com/problems/number-of-distinct-islands", "694. Number of Distinct Islands")</f>
        <v>694. Number of Distinct Islands</v>
      </c>
      <c r="B612" t="s">
        <v>7</v>
      </c>
      <c r="C612" t="s">
        <v>411</v>
      </c>
      <c r="D612" t="s">
        <v>515</v>
      </c>
    </row>
    <row r="613" spans="1:4" x14ac:dyDescent="0.45">
      <c r="A613" t="str">
        <f>HYPERLINK("https://leetcode.com/problems/unique-length-3-palindromic-subsequences", "1930. Unique Length-3 Palindromic Subsequences")</f>
        <v>1930. Unique Length-3 Palindromic Subsequences</v>
      </c>
      <c r="B613" t="s">
        <v>7</v>
      </c>
      <c r="C613" t="s">
        <v>500</v>
      </c>
      <c r="D613" t="s">
        <v>20</v>
      </c>
    </row>
    <row r="614" spans="1:4" x14ac:dyDescent="0.45">
      <c r="A614" t="str">
        <f>HYPERLINK("https://leetcode.com/problems/n-th-tribonacci-number", "1137. N-th Tribonacci Number")</f>
        <v>1137. N-th Tribonacci Number</v>
      </c>
      <c r="B614" t="s">
        <v>4</v>
      </c>
      <c r="C614" t="s">
        <v>516</v>
      </c>
      <c r="D614" t="s">
        <v>44</v>
      </c>
    </row>
    <row r="615" spans="1:4" x14ac:dyDescent="0.45">
      <c r="A615" t="str">
        <f>HYPERLINK("https://leetcode.com/problems/maximize-amount-after-two-days-of-conversions", "3387. Maximize Amount After Two Days of Conversions")</f>
        <v>3387. Maximize Amount After Two Days of Conversions</v>
      </c>
      <c r="B615" t="s">
        <v>7</v>
      </c>
      <c r="C615" t="s">
        <v>280</v>
      </c>
      <c r="D615" t="s">
        <v>79</v>
      </c>
    </row>
    <row r="616" spans="1:4" x14ac:dyDescent="0.45">
      <c r="A616" t="str">
        <f>HYPERLINK("https://leetcode.com/problems/shifting-letters-ii", "2381. Shifting Letters II")</f>
        <v>2381. Shifting Letters II</v>
      </c>
      <c r="B616" t="s">
        <v>7</v>
      </c>
      <c r="C616" t="s">
        <v>180</v>
      </c>
      <c r="D616" t="s">
        <v>68</v>
      </c>
    </row>
    <row r="617" spans="1:4" x14ac:dyDescent="0.45">
      <c r="A617" t="str">
        <f>HYPERLINK("https://leetcode.com/problems/maximum-coins-from-k-consecutive-bags", "3413. Maximum Coins From K Consecutive Bags")</f>
        <v>3413. Maximum Coins From K Consecutive Bags</v>
      </c>
      <c r="B617" t="s">
        <v>7</v>
      </c>
      <c r="C617" t="s">
        <v>517</v>
      </c>
      <c r="D617" t="s">
        <v>61</v>
      </c>
    </row>
    <row r="618" spans="1:4" x14ac:dyDescent="0.45">
      <c r="A618" t="str">
        <f>HYPERLINK("https://leetcode.com/problems/students-and-examinations", "1280. Students and Examinations")</f>
        <v>1280. Students and Examinations</v>
      </c>
      <c r="B618" t="s">
        <v>4</v>
      </c>
      <c r="C618" t="s">
        <v>518</v>
      </c>
      <c r="D618" t="s">
        <v>20</v>
      </c>
    </row>
    <row r="619" spans="1:4" x14ac:dyDescent="0.45">
      <c r="A619" t="str">
        <f>HYPERLINK("https://leetcode.com/problems/maximize-subarray-sum-after-removing-all-occurrences-of-one-element", "3410. Maximize Subarray Sum After Removing All Occurrences of One Element")</f>
        <v>3410. Maximize Subarray Sum After Removing All Occurrences of One Element</v>
      </c>
      <c r="B619" t="s">
        <v>12</v>
      </c>
      <c r="C619" t="s">
        <v>519</v>
      </c>
      <c r="D619" t="s">
        <v>44</v>
      </c>
    </row>
    <row r="620" spans="1:4" x14ac:dyDescent="0.45">
      <c r="A620" t="str">
        <f>HYPERLINK("https://leetcode.com/problems/minesweeper", "529. Minesweeper")</f>
        <v>529. Minesweeper</v>
      </c>
      <c r="B620" t="s">
        <v>7</v>
      </c>
      <c r="C620" t="s">
        <v>387</v>
      </c>
      <c r="D620" t="s">
        <v>34</v>
      </c>
    </row>
    <row r="621" spans="1:4" x14ac:dyDescent="0.45">
      <c r="A621" t="str">
        <f>HYPERLINK("https://leetcode.com/problems/maximum-product-of-three-numbers", "628. Maximum Product of Three Numbers")</f>
        <v>628. Maximum Product of Three Numbers</v>
      </c>
      <c r="B621" t="s">
        <v>4</v>
      </c>
      <c r="C621" t="s">
        <v>520</v>
      </c>
      <c r="D621" t="s">
        <v>521</v>
      </c>
    </row>
    <row r="622" spans="1:4" x14ac:dyDescent="0.45">
      <c r="A622" t="str">
        <f>HYPERLINK("https://leetcode.com/problems/find-greatest-common-divisor-of-array", "1979. Find Greatest Common Divisor of Array")</f>
        <v>1979. Find Greatest Common Divisor of Array</v>
      </c>
      <c r="B622" t="s">
        <v>4</v>
      </c>
      <c r="C622" t="s">
        <v>522</v>
      </c>
      <c r="D622" t="s">
        <v>44</v>
      </c>
    </row>
    <row r="623" spans="1:4" x14ac:dyDescent="0.45">
      <c r="A623" t="str">
        <f>HYPERLINK("https://leetcode.com/problems/design-task-manager", "3408. Design Task Manager")</f>
        <v>3408. Design Task Manager</v>
      </c>
      <c r="B623" t="s">
        <v>7</v>
      </c>
      <c r="C623" t="s">
        <v>523</v>
      </c>
      <c r="D623" t="s">
        <v>44</v>
      </c>
    </row>
    <row r="624" spans="1:4" x14ac:dyDescent="0.45">
      <c r="A624" t="str">
        <f>HYPERLINK("https://leetcode.com/problems/maximum-number-of-distinct-elements-after-operations", "3397. Maximum Number of Distinct Elements After Operations")</f>
        <v>3397. Maximum Number of Distinct Elements After Operations</v>
      </c>
      <c r="B624" t="s">
        <v>7</v>
      </c>
      <c r="C624" t="s">
        <v>524</v>
      </c>
      <c r="D624" t="s">
        <v>44</v>
      </c>
    </row>
    <row r="625" spans="1:4" x14ac:dyDescent="0.45">
      <c r="A625" t="str">
        <f>HYPERLINK("https://leetcode.com/problems/best-meeting-point", "296. Best Meeting Point")</f>
        <v>296. Best Meeting Point</v>
      </c>
      <c r="B625" t="s">
        <v>12</v>
      </c>
      <c r="C625" t="s">
        <v>205</v>
      </c>
      <c r="D625" t="s">
        <v>34</v>
      </c>
    </row>
    <row r="626" spans="1:4" x14ac:dyDescent="0.45">
      <c r="A626" t="str">
        <f>HYPERLINK("https://leetcode.com/problems/check-if-grid-can-be-cut-into-sections", "3394. Check if Grid can be Cut into Sections")</f>
        <v>3394. Check if Grid can be Cut into Sections</v>
      </c>
      <c r="B626" t="s">
        <v>7</v>
      </c>
      <c r="C626" t="s">
        <v>190</v>
      </c>
      <c r="D626" t="s">
        <v>234</v>
      </c>
    </row>
    <row r="627" spans="1:4" x14ac:dyDescent="0.45">
      <c r="A627" t="str">
        <f>HYPERLINK("https://leetcode.com/problems/two-sum-iv---input-is-a-bst", "653. Two Sum IV - Input is a BST")</f>
        <v>653. Two Sum IV - Input is a BST</v>
      </c>
      <c r="B627" t="s">
        <v>4</v>
      </c>
      <c r="C627" t="s">
        <v>202</v>
      </c>
      <c r="D627" t="s">
        <v>508</v>
      </c>
    </row>
    <row r="628" spans="1:4" x14ac:dyDescent="0.45">
      <c r="A628" t="str">
        <f>HYPERLINK("https://leetcode.com/problems/string-matching-in-an-array", "1408. String Matching in an Array")</f>
        <v>1408. String Matching in an Array</v>
      </c>
      <c r="B628" t="s">
        <v>4</v>
      </c>
      <c r="C628" t="s">
        <v>525</v>
      </c>
      <c r="D628" t="s">
        <v>330</v>
      </c>
    </row>
    <row r="629" spans="1:4" x14ac:dyDescent="0.45">
      <c r="A629" t="str">
        <f>HYPERLINK("https://leetcode.com/problems/sum-of-square-numbers", "633. Sum of Square Numbers")</f>
        <v>633. Sum of Square Numbers</v>
      </c>
      <c r="B629" t="s">
        <v>7</v>
      </c>
      <c r="C629" t="s">
        <v>364</v>
      </c>
      <c r="D629" t="s">
        <v>63</v>
      </c>
    </row>
    <row r="630" spans="1:4" x14ac:dyDescent="0.45">
      <c r="A630" t="str">
        <f>HYPERLINK("https://leetcode.com/problems/count-ways-to-build-good-strings", "2466. Count Ways To Build Good Strings")</f>
        <v>2466. Count Ways To Build Good Strings</v>
      </c>
      <c r="B630" t="s">
        <v>7</v>
      </c>
      <c r="C630" t="s">
        <v>173</v>
      </c>
      <c r="D630" t="s">
        <v>68</v>
      </c>
    </row>
    <row r="631" spans="1:4" x14ac:dyDescent="0.45">
      <c r="A631" t="str">
        <f>HYPERLINK("https://leetcode.com/problems/count-prefix-and-suffix-pairs-i", "3042. Count Prefix and Suffix Pairs I")</f>
        <v>3042. Count Prefix and Suffix Pairs I</v>
      </c>
      <c r="B631" t="s">
        <v>4</v>
      </c>
      <c r="C631" t="s">
        <v>526</v>
      </c>
      <c r="D631" t="s">
        <v>393</v>
      </c>
    </row>
    <row r="632" spans="1:4" x14ac:dyDescent="0.45">
      <c r="A632" t="str">
        <f>HYPERLINK("https://leetcode.com/problems/most-common-word", "819. Most Common Word")</f>
        <v>819. Most Common Word</v>
      </c>
      <c r="B632" t="s">
        <v>4</v>
      </c>
      <c r="C632" t="s">
        <v>409</v>
      </c>
      <c r="D632" t="s">
        <v>44</v>
      </c>
    </row>
    <row r="633" spans="1:4" x14ac:dyDescent="0.45">
      <c r="A633" t="str">
        <f>HYPERLINK("https://leetcode.com/problems/find-the-smallest-divisor-given-a-threshold", "1283. Find the Smallest Divisor Given a Threshold")</f>
        <v>1283. Find the Smallest Divisor Given a Threshold</v>
      </c>
      <c r="B633" t="s">
        <v>7</v>
      </c>
      <c r="C633" t="s">
        <v>226</v>
      </c>
      <c r="D633" t="s">
        <v>91</v>
      </c>
    </row>
    <row r="634" spans="1:4" x14ac:dyDescent="0.45">
      <c r="A634" t="str">
        <f>HYPERLINK("https://leetcode.com/problems/row-with-maximum-ones", "2643. Row With Maximum Ones")</f>
        <v>2643. Row With Maximum Ones</v>
      </c>
      <c r="B634" t="s">
        <v>4</v>
      </c>
      <c r="C634" t="s">
        <v>527</v>
      </c>
      <c r="D634" t="s">
        <v>61</v>
      </c>
    </row>
    <row r="635" spans="1:4" x14ac:dyDescent="0.45">
      <c r="A635" t="str">
        <f>HYPERLINK("https://leetcode.com/problems/construct-k-palindrome-strings", "1400. Construct K Palindrome Strings")</f>
        <v>1400. Construct K Palindrome Strings</v>
      </c>
      <c r="B635" t="s">
        <v>7</v>
      </c>
      <c r="C635" t="s">
        <v>375</v>
      </c>
      <c r="D635" t="s">
        <v>63</v>
      </c>
    </row>
    <row r="636" spans="1:4" x14ac:dyDescent="0.45">
      <c r="A636" t="str">
        <f>HYPERLINK("https://leetcode.com/problems/increasing-order-search-tree", "897. Increasing Order Search Tree")</f>
        <v>897. Increasing Order Search Tree</v>
      </c>
      <c r="B636" t="s">
        <v>4</v>
      </c>
      <c r="C636" t="s">
        <v>310</v>
      </c>
      <c r="D636" t="s">
        <v>44</v>
      </c>
    </row>
    <row r="637" spans="1:4" x14ac:dyDescent="0.45">
      <c r="A637" t="str">
        <f>HYPERLINK("https://leetcode.com/problems/check-if-a-parentheses-string-can-be-valid", "2116. Check if a Parentheses String Can Be Valid")</f>
        <v>2116. Check if a Parentheses String Can Be Valid</v>
      </c>
      <c r="B637" t="s">
        <v>7</v>
      </c>
      <c r="C637" t="s">
        <v>203</v>
      </c>
      <c r="D637" t="s">
        <v>303</v>
      </c>
    </row>
    <row r="638" spans="1:4" x14ac:dyDescent="0.45">
      <c r="A638" t="str">
        <f>HYPERLINK("https://leetcode.com/problems/minimize-the-maximum-edge-weight-of-graph", "3419. Minimize the Maximum Edge Weight of Graph")</f>
        <v>3419. Minimize the Maximum Edge Weight of Graph</v>
      </c>
      <c r="B638" t="s">
        <v>7</v>
      </c>
      <c r="C638" t="s">
        <v>161</v>
      </c>
      <c r="D638" t="s">
        <v>44</v>
      </c>
    </row>
    <row r="639" spans="1:4" x14ac:dyDescent="0.45">
      <c r="A639" t="str">
        <f>HYPERLINK("https://leetcode.com/problems/find-center-of-star-graph", "1791. Find Center of Star Graph")</f>
        <v>1791. Find Center of Star Graph</v>
      </c>
      <c r="B639" t="s">
        <v>4</v>
      </c>
      <c r="C639" t="s">
        <v>503</v>
      </c>
      <c r="D639" t="s">
        <v>44</v>
      </c>
    </row>
    <row r="640" spans="1:4" x14ac:dyDescent="0.45">
      <c r="A640" t="str">
        <f>HYPERLINK("https://leetcode.com/problems/house-robber-iv", "2560. House Robber IV")</f>
        <v>2560. House Robber IV</v>
      </c>
      <c r="B640" t="s">
        <v>7</v>
      </c>
      <c r="C640" t="s">
        <v>379</v>
      </c>
      <c r="D640" t="s">
        <v>11</v>
      </c>
    </row>
    <row r="641" spans="1:4" x14ac:dyDescent="0.45">
      <c r="A641" t="str">
        <f>HYPERLINK("https://leetcode.com/problems/find-the-prefix-common-array-of-two-arrays", "2657. Find the Prefix Common Array of Two Arrays")</f>
        <v>2657. Find the Prefix Common Array of Two Arrays</v>
      </c>
      <c r="B641" t="s">
        <v>7</v>
      </c>
      <c r="C641" t="s">
        <v>528</v>
      </c>
      <c r="D641" t="s">
        <v>54</v>
      </c>
    </row>
    <row r="642" spans="1:4" x14ac:dyDescent="0.45">
      <c r="A642" t="str">
        <f>HYPERLINK("https://leetcode.com/problems/smallest-even-multiple", "2413. Smallest Even Multiple")</f>
        <v>2413. Smallest Even Multiple</v>
      </c>
      <c r="B642" t="s">
        <v>4</v>
      </c>
      <c r="C642" t="s">
        <v>529</v>
      </c>
      <c r="D642" t="s">
        <v>44</v>
      </c>
    </row>
    <row r="643" spans="1:4" x14ac:dyDescent="0.45">
      <c r="A643" t="str">
        <f>HYPERLINK("https://leetcode.com/problems/132-pattern", "456. 132 Pattern")</f>
        <v>456. 132 Pattern</v>
      </c>
      <c r="B643" t="s">
        <v>7</v>
      </c>
      <c r="C643" t="s">
        <v>530</v>
      </c>
      <c r="D643" t="s">
        <v>234</v>
      </c>
    </row>
    <row r="644" spans="1:4" x14ac:dyDescent="0.45">
      <c r="A644" t="str">
        <f>HYPERLINK("https://leetcode.com/problems/array-reduce-transformation", "2626. Array Reduce Transformation")</f>
        <v>2626. Array Reduce Transformation</v>
      </c>
      <c r="B644" t="s">
        <v>4</v>
      </c>
      <c r="C644" t="s">
        <v>531</v>
      </c>
      <c r="D644" t="s">
        <v>44</v>
      </c>
    </row>
    <row r="645" spans="1:4" x14ac:dyDescent="0.45">
      <c r="A645" t="str">
        <f>HYPERLINK("https://leetcode.com/problems/minimize-xor", "2429. Minimize XOR")</f>
        <v>2429. Minimize XOR</v>
      </c>
      <c r="B645" t="s">
        <v>7</v>
      </c>
      <c r="C645" t="s">
        <v>129</v>
      </c>
      <c r="D645" t="s">
        <v>91</v>
      </c>
    </row>
    <row r="646" spans="1:4" x14ac:dyDescent="0.45">
      <c r="A646" t="str">
        <f>HYPERLINK("https://leetcode.com/problems/count-non-decreasing-subarrays-after-k-operations", "3420. Count Non-Decreasing Subarrays After K Operations")</f>
        <v>3420. Count Non-Decreasing Subarrays After K Operations</v>
      </c>
      <c r="B646" t="s">
        <v>12</v>
      </c>
      <c r="C646" t="s">
        <v>532</v>
      </c>
      <c r="D646" t="s">
        <v>214</v>
      </c>
    </row>
    <row r="647" spans="1:4" x14ac:dyDescent="0.45">
      <c r="A647" t="str">
        <f>HYPERLINK("https://leetcode.com/problems/employee-importance", "690. Employee Importance")</f>
        <v>690. Employee Importance</v>
      </c>
      <c r="B647" t="s">
        <v>7</v>
      </c>
      <c r="C647" t="s">
        <v>84</v>
      </c>
      <c r="D647" t="s">
        <v>61</v>
      </c>
    </row>
    <row r="648" spans="1:4" x14ac:dyDescent="0.45">
      <c r="A648" t="str">
        <f>HYPERLINK("https://leetcode.com/problems/bitwise-xor-of-all-pairings", "2425. Bitwise XOR of All Pairings")</f>
        <v>2425. Bitwise XOR of All Pairings</v>
      </c>
      <c r="B648" t="s">
        <v>7</v>
      </c>
      <c r="C648" t="s">
        <v>286</v>
      </c>
      <c r="D648" t="s">
        <v>44</v>
      </c>
    </row>
    <row r="649" spans="1:4" x14ac:dyDescent="0.45">
      <c r="A649" t="str">
        <f>HYPERLINK("https://leetcode.com/problems/maximum-number-of-events-that-can-be-attended", "1353. Maximum Number of Events That Can Be Attended")</f>
        <v>1353. Maximum Number of Events That Can Be Attended</v>
      </c>
      <c r="B649" t="s">
        <v>7</v>
      </c>
      <c r="C649" t="s">
        <v>533</v>
      </c>
      <c r="D649" t="s">
        <v>534</v>
      </c>
    </row>
    <row r="650" spans="1:4" x14ac:dyDescent="0.45">
      <c r="A650" t="str">
        <f>HYPERLINK("https://leetcode.com/problems/neighboring-bitwise-xor", "2683. Neighboring Bitwise XOR")</f>
        <v>2683. Neighboring Bitwise XOR</v>
      </c>
      <c r="B650" t="s">
        <v>7</v>
      </c>
      <c r="C650" t="s">
        <v>535</v>
      </c>
      <c r="D650" t="s">
        <v>61</v>
      </c>
    </row>
    <row r="651" spans="1:4" x14ac:dyDescent="0.45">
      <c r="A651" t="str">
        <f>HYPERLINK("https://leetcode.com/problems/analyze-user-website-visit-pattern", "1152. Analyze User Website Visit Pattern")</f>
        <v>1152. Analyze User Website Visit Pattern</v>
      </c>
      <c r="B651" t="s">
        <v>7</v>
      </c>
      <c r="C651" t="s">
        <v>536</v>
      </c>
      <c r="D651" t="s">
        <v>46</v>
      </c>
    </row>
    <row r="652" spans="1:4" x14ac:dyDescent="0.45">
      <c r="A652" t="str">
        <f>HYPERLINK("https://leetcode.com/problems/super-pow", "372. Super Pow")</f>
        <v>372. Super Pow</v>
      </c>
      <c r="B652" t="s">
        <v>7</v>
      </c>
      <c r="C652" t="s">
        <v>537</v>
      </c>
      <c r="D652" t="s">
        <v>214</v>
      </c>
    </row>
    <row r="653" spans="1:4" x14ac:dyDescent="0.45">
      <c r="A653" t="str">
        <f>HYPERLINK("https://leetcode.com/problems/manhattan-distances-of-all-arrangements-of-pieces", "3426. Manhattan Distances of All Arrangements of Pieces")</f>
        <v>3426. Manhattan Distances of All Arrangements of Pieces</v>
      </c>
      <c r="B653" t="s">
        <v>12</v>
      </c>
      <c r="C653" t="s">
        <v>538</v>
      </c>
      <c r="D653" t="s">
        <v>44</v>
      </c>
    </row>
    <row r="654" spans="1:4" x14ac:dyDescent="0.45">
      <c r="A654" t="str">
        <f>HYPERLINK("https://leetcode.com/problems/first-completely-painted-row-or-column", "2661. First Completely Painted Row or Column")</f>
        <v>2661. First Completely Painted Row or Column</v>
      </c>
      <c r="B654" t="s">
        <v>7</v>
      </c>
      <c r="C654" t="s">
        <v>64</v>
      </c>
      <c r="D654" t="s">
        <v>44</v>
      </c>
    </row>
    <row r="655" spans="1:4" x14ac:dyDescent="0.45">
      <c r="A655" t="str">
        <f>HYPERLINK("https://leetcode.com/problems/grid-game", "2017. Grid Game")</f>
        <v>2017. Grid Game</v>
      </c>
      <c r="B655" t="s">
        <v>7</v>
      </c>
      <c r="C655" t="s">
        <v>373</v>
      </c>
      <c r="D655" t="s">
        <v>128</v>
      </c>
    </row>
    <row r="656" spans="1:4" x14ac:dyDescent="0.45">
      <c r="A656" t="str">
        <f>HYPERLINK("https://leetcode.com/problems/special-array-with-x-elements-greater-than-or-equal-x", "1608. Special Array With X Elements Greater Than or Equal X")</f>
        <v>1608. Special Array With X Elements Greater Than or Equal X</v>
      </c>
      <c r="B656" t="s">
        <v>4</v>
      </c>
      <c r="C656" t="s">
        <v>539</v>
      </c>
      <c r="D656" t="s">
        <v>44</v>
      </c>
    </row>
    <row r="657" spans="1:4" x14ac:dyDescent="0.45">
      <c r="A657" t="str">
        <f>HYPERLINK("https://leetcode.com/problems/count-items-matching-a-rule", "1773. Count Items Matching a Rule")</f>
        <v>1773. Count Items Matching a Rule</v>
      </c>
      <c r="B657" t="s">
        <v>4</v>
      </c>
      <c r="C657" t="s">
        <v>540</v>
      </c>
      <c r="D657" t="s">
        <v>44</v>
      </c>
    </row>
    <row r="658" spans="1:4" x14ac:dyDescent="0.45">
      <c r="A658" t="str">
        <f>HYPERLINK("https://leetcode.com/problems/factorial-trailing-zeroes", "172. Factorial Trailing Zeroes")</f>
        <v>172. Factorial Trailing Zeroes</v>
      </c>
      <c r="B658" t="s">
        <v>7</v>
      </c>
      <c r="C658" t="s">
        <v>541</v>
      </c>
      <c r="D658" t="s">
        <v>91</v>
      </c>
    </row>
    <row r="659" spans="1:4" x14ac:dyDescent="0.45">
      <c r="A659" t="str">
        <f>HYPERLINK("https://leetcode.com/problems/walls-and-gates", "286. Walls and Gates")</f>
        <v>286. Walls and Gates</v>
      </c>
      <c r="B659" t="s">
        <v>7</v>
      </c>
      <c r="C659" t="s">
        <v>243</v>
      </c>
      <c r="D659" t="s">
        <v>74</v>
      </c>
    </row>
    <row r="660" spans="1:4" x14ac:dyDescent="0.45">
      <c r="A660" t="str">
        <f>HYPERLINK("https://leetcode.com/problems/delete-leaves-with-a-given-value", "1325. Delete Leaves With a Given Value")</f>
        <v>1325. Delete Leaves With a Given Value</v>
      </c>
      <c r="B660" t="s">
        <v>7</v>
      </c>
      <c r="C660" t="s">
        <v>86</v>
      </c>
      <c r="D660" t="s">
        <v>44</v>
      </c>
    </row>
    <row r="661" spans="1:4" x14ac:dyDescent="0.45">
      <c r="A661" t="str">
        <f>HYPERLINK("https://leetcode.com/problems/count-servers-that-communicate", "1267. Count Servers that Communicate")</f>
        <v>1267. Count Servers that Communicate</v>
      </c>
      <c r="B661" t="s">
        <v>7</v>
      </c>
      <c r="C661" t="s">
        <v>542</v>
      </c>
      <c r="D661" t="s">
        <v>20</v>
      </c>
    </row>
    <row r="662" spans="1:4" x14ac:dyDescent="0.45">
      <c r="A662" t="str">
        <f>HYPERLINK("https://leetcode.com/problems/scramble-string", "87. Scramble String")</f>
        <v>87. Scramble String</v>
      </c>
      <c r="B662" t="s">
        <v>12</v>
      </c>
      <c r="C662" t="s">
        <v>341</v>
      </c>
      <c r="D662" t="s">
        <v>44</v>
      </c>
    </row>
    <row r="663" spans="1:4" x14ac:dyDescent="0.45">
      <c r="A663" t="str">
        <f>HYPERLINK("https://leetcode.com/problems/sum-root-to-leaf-numbers", "129. Sum Root to Leaf Numbers")</f>
        <v>129. Sum Root to Leaf Numbers</v>
      </c>
      <c r="B663" t="s">
        <v>7</v>
      </c>
      <c r="C663" t="s">
        <v>84</v>
      </c>
      <c r="D663" t="s">
        <v>54</v>
      </c>
    </row>
    <row r="664" spans="1:4" x14ac:dyDescent="0.45">
      <c r="A664" t="str">
        <f>HYPERLINK("https://leetcode.com/problems/make-lexicographically-smallest-array-by-swapping-elements", "2948. Make Lexicographically Smallest Array by Swapping Elements")</f>
        <v>2948. Make Lexicographically Smallest Array by Swapping Elements</v>
      </c>
      <c r="B664" t="s">
        <v>7</v>
      </c>
      <c r="C664" t="s">
        <v>447</v>
      </c>
      <c r="D664" t="s">
        <v>61</v>
      </c>
    </row>
    <row r="665" spans="1:4" x14ac:dyDescent="0.45">
      <c r="A665" t="str">
        <f>HYPERLINK("https://leetcode.com/problems/remove-digit-from-number-to-maximize-result", "2259. Remove Digit From Number to Maximize Result")</f>
        <v>2259. Remove Digit From Number to Maximize Result</v>
      </c>
      <c r="B665" t="s">
        <v>4</v>
      </c>
      <c r="C665" t="s">
        <v>274</v>
      </c>
      <c r="D665" t="s">
        <v>44</v>
      </c>
    </row>
    <row r="666" spans="1:4" x14ac:dyDescent="0.45">
      <c r="A666" t="str">
        <f>HYPERLINK("https://leetcode.com/problems/swap-for-longest-repeated-character-substring", "1156. Swap For Longest Repeated Character Substring")</f>
        <v>1156. Swap For Longest Repeated Character Substring</v>
      </c>
      <c r="B666" t="s">
        <v>7</v>
      </c>
      <c r="C666" t="s">
        <v>366</v>
      </c>
      <c r="D666" t="s">
        <v>44</v>
      </c>
    </row>
    <row r="667" spans="1:4" x14ac:dyDescent="0.45">
      <c r="A667" t="str">
        <f>HYPERLINK("https://leetcode.com/problems/cousins-in-binary-tree", "993. Cousins in Binary Tree")</f>
        <v>993. Cousins in Binary Tree</v>
      </c>
      <c r="B667" t="s">
        <v>4</v>
      </c>
      <c r="C667" t="s">
        <v>474</v>
      </c>
      <c r="D667" t="s">
        <v>61</v>
      </c>
    </row>
    <row r="668" spans="1:4" x14ac:dyDescent="0.45">
      <c r="A668" t="str">
        <f>HYPERLINK("https://leetcode.com/problems/average-of-levels-in-binary-tree", "637. Average of Levels in Binary Tree")</f>
        <v>637. Average of Levels in Binary Tree</v>
      </c>
      <c r="B668" t="s">
        <v>4</v>
      </c>
      <c r="C668" t="s">
        <v>372</v>
      </c>
      <c r="D668" t="s">
        <v>44</v>
      </c>
    </row>
    <row r="669" spans="1:4" x14ac:dyDescent="0.45">
      <c r="A669" t="str">
        <f>HYPERLINK("https://leetcode.com/problems/course-schedule-iv", "1462. Course Schedule IV")</f>
        <v>1462. Course Schedule IV</v>
      </c>
      <c r="B669" t="s">
        <v>7</v>
      </c>
      <c r="C669" t="s">
        <v>543</v>
      </c>
      <c r="D669" t="s">
        <v>61</v>
      </c>
    </row>
    <row r="670" spans="1:4" x14ac:dyDescent="0.45">
      <c r="A670" t="str">
        <f>HYPERLINK("https://leetcode.com/problems/maximum-number-of-fish-in-a-grid", "2658. Maximum Number of Fish in a Grid")</f>
        <v>2658. Maximum Number of Fish in a Grid</v>
      </c>
      <c r="B670" t="s">
        <v>7</v>
      </c>
      <c r="C670" t="s">
        <v>95</v>
      </c>
      <c r="D670" t="s">
        <v>54</v>
      </c>
    </row>
    <row r="671" spans="1:4" x14ac:dyDescent="0.45">
      <c r="A671" t="str">
        <f>HYPERLINK("https://leetcode.com/problems/remove-duplicate-letters", "316. Remove Duplicate Letters")</f>
        <v>316. Remove Duplicate Letters</v>
      </c>
      <c r="B671" t="s">
        <v>7</v>
      </c>
      <c r="C671" t="s">
        <v>271</v>
      </c>
      <c r="D671" t="s">
        <v>330</v>
      </c>
    </row>
    <row r="672" spans="1:4" x14ac:dyDescent="0.45">
      <c r="A672" t="str">
        <f>HYPERLINK("https://leetcode.com/problems/insert-into-a-binary-search-tree", "701. Insert into a Binary Search Tree")</f>
        <v>701. Insert into a Binary Search Tree</v>
      </c>
      <c r="B672" t="s">
        <v>7</v>
      </c>
      <c r="C672" t="s">
        <v>542</v>
      </c>
      <c r="D672" t="s">
        <v>61</v>
      </c>
    </row>
    <row r="673" spans="1:4" x14ac:dyDescent="0.45">
      <c r="A673" t="str">
        <f>HYPERLINK("https://leetcode.com/problems/sum-of-beauty-of-all-substrings", "1781. Sum of Beauty of All Substrings")</f>
        <v>1781. Sum of Beauty of All Substrings</v>
      </c>
      <c r="B673" t="s">
        <v>7</v>
      </c>
      <c r="C673" t="s">
        <v>247</v>
      </c>
      <c r="D673" t="s">
        <v>393</v>
      </c>
    </row>
    <row r="674" spans="1:4" x14ac:dyDescent="0.45">
      <c r="A674" t="str">
        <f>HYPERLINK("https://leetcode.com/problems/add-two-numbers-ii", "445. Add Two Numbers II")</f>
        <v>445. Add Two Numbers II</v>
      </c>
      <c r="B674" t="s">
        <v>7</v>
      </c>
      <c r="C674" t="s">
        <v>544</v>
      </c>
      <c r="D674" t="s">
        <v>214</v>
      </c>
    </row>
    <row r="675" spans="1:4" x14ac:dyDescent="0.45">
      <c r="A675" t="str">
        <f>HYPERLINK("https://leetcode.com/problems/divide-nodes-into-the-maximum-number-of-groups", "2493. Divide Nodes Into the Maximum Number of Groups")</f>
        <v>2493. Divide Nodes Into the Maximum Number of Groups</v>
      </c>
      <c r="B675" t="s">
        <v>12</v>
      </c>
      <c r="C675" t="s">
        <v>235</v>
      </c>
      <c r="D675" t="s">
        <v>239</v>
      </c>
    </row>
    <row r="676" spans="1:4" x14ac:dyDescent="0.45">
      <c r="A676" t="str">
        <f>HYPERLINK("https://leetcode.com/problems/count-number-of-teams", "1395. Count Number of Teams")</f>
        <v>1395. Count Number of Teams</v>
      </c>
      <c r="B676" t="s">
        <v>7</v>
      </c>
      <c r="C676" t="s">
        <v>445</v>
      </c>
      <c r="D676" t="s">
        <v>545</v>
      </c>
    </row>
    <row r="677" spans="1:4" x14ac:dyDescent="0.45">
      <c r="A677" t="str">
        <f>HYPERLINK("https://leetcode.com/problems/number-of-recent-calls", "933. Number of Recent Calls")</f>
        <v>933. Number of Recent Calls</v>
      </c>
      <c r="B677" t="s">
        <v>4</v>
      </c>
      <c r="C677" t="s">
        <v>86</v>
      </c>
      <c r="D677" t="s">
        <v>20</v>
      </c>
    </row>
    <row r="678" spans="1:4" x14ac:dyDescent="0.45">
      <c r="A678" t="str">
        <f>HYPERLINK("https://leetcode.com/problems/optimal-account-balancing", "465. Optimal Account Balancing")</f>
        <v>465. Optimal Account Balancing</v>
      </c>
      <c r="B678" t="s">
        <v>12</v>
      </c>
      <c r="C678" t="s">
        <v>282</v>
      </c>
      <c r="D678" t="s">
        <v>546</v>
      </c>
    </row>
    <row r="679" spans="1:4" x14ac:dyDescent="0.45">
      <c r="A679" t="str">
        <f>HYPERLINK("https://leetcode.com/problems/buddy-strings", "859. Buddy Strings")</f>
        <v>859. Buddy Strings</v>
      </c>
      <c r="B679" t="s">
        <v>4</v>
      </c>
      <c r="C679" t="s">
        <v>547</v>
      </c>
      <c r="D679" t="s">
        <v>44</v>
      </c>
    </row>
    <row r="680" spans="1:4" x14ac:dyDescent="0.45">
      <c r="A680" t="str">
        <f>HYPERLINK("https://leetcode.com/problems/validate-binary-tree-nodes", "1361. Validate Binary Tree Nodes")</f>
        <v>1361. Validate Binary Tree Nodes</v>
      </c>
      <c r="B680" t="s">
        <v>7</v>
      </c>
      <c r="C680" t="s">
        <v>78</v>
      </c>
      <c r="D680" t="s">
        <v>214</v>
      </c>
    </row>
    <row r="681" spans="1:4" x14ac:dyDescent="0.45">
      <c r="A681" t="str">
        <f>HYPERLINK("https://leetcode.com/problems/special-array-i", "3151. Special Array I")</f>
        <v>3151. Special Array I</v>
      </c>
      <c r="B681" t="s">
        <v>4</v>
      </c>
      <c r="C681" t="s">
        <v>548</v>
      </c>
      <c r="D681" t="s">
        <v>309</v>
      </c>
    </row>
    <row r="682" spans="1:4" x14ac:dyDescent="0.45">
      <c r="A682" t="str">
        <f>HYPERLINK("https://leetcode.com/problems/longest-subsequence-with-decreasing-adjacent-difference", "3409. Longest Subsequence With Decreasing Adjacent Difference")</f>
        <v>3409. Longest Subsequence With Decreasing Adjacent Difference</v>
      </c>
      <c r="B682" t="s">
        <v>7</v>
      </c>
      <c r="C682" t="s">
        <v>549</v>
      </c>
      <c r="D682" t="s">
        <v>44</v>
      </c>
    </row>
    <row r="683" spans="1:4" x14ac:dyDescent="0.45">
      <c r="A683" t="str">
        <f>HYPERLINK("https://leetcode.com/problems/longest-palindromic-subsequence", "516. Longest Palindromic Subsequence")</f>
        <v>516. Longest Palindromic Subsequence</v>
      </c>
      <c r="B683" t="s">
        <v>7</v>
      </c>
      <c r="C683" t="s">
        <v>353</v>
      </c>
      <c r="D683" t="s">
        <v>87</v>
      </c>
    </row>
    <row r="684" spans="1:4" x14ac:dyDescent="0.45">
      <c r="A684" t="str">
        <f>HYPERLINK("https://leetcode.com/problems/maximum-ascending-subarray-sum", "1800. Maximum Ascending Subarray Sum")</f>
        <v>1800. Maximum Ascending Subarray Sum</v>
      </c>
      <c r="B684" t="s">
        <v>4</v>
      </c>
      <c r="C684" t="s">
        <v>123</v>
      </c>
      <c r="D684" t="s">
        <v>91</v>
      </c>
    </row>
    <row r="685" spans="1:4" x14ac:dyDescent="0.45">
      <c r="A685" t="str">
        <f>HYPERLINK("https://leetcode.com/problems/k-diff-pairs-in-an-array", "532. K-diff Pairs in an Array")</f>
        <v>532. K-diff Pairs in an Array</v>
      </c>
      <c r="B685" t="s">
        <v>7</v>
      </c>
      <c r="C685" t="s">
        <v>550</v>
      </c>
      <c r="D685" t="s">
        <v>551</v>
      </c>
    </row>
    <row r="686" spans="1:4" x14ac:dyDescent="0.45">
      <c r="A686" t="str">
        <f>HYPERLINK("https://leetcode.com/problems/sparse-matrix-multiplication", "311. Sparse Matrix Multiplication")</f>
        <v>311. Sparse Matrix Multiplication</v>
      </c>
      <c r="B686" t="s">
        <v>7</v>
      </c>
      <c r="C686" t="s">
        <v>375</v>
      </c>
      <c r="D686" t="s">
        <v>34</v>
      </c>
    </row>
    <row r="687" spans="1:4" x14ac:dyDescent="0.45">
      <c r="A687" t="str">
        <f>HYPERLINK("https://leetcode.com/problems/reschedule-meetings-for-maximum-free-time-ii", "3440. Reschedule Meetings for Maximum Free Time II")</f>
        <v>3440. Reschedule Meetings for Maximum Free Time II</v>
      </c>
      <c r="B687" t="s">
        <v>7</v>
      </c>
      <c r="C687" t="s">
        <v>169</v>
      </c>
      <c r="D687" t="s">
        <v>44</v>
      </c>
    </row>
    <row r="688" spans="1:4" x14ac:dyDescent="0.45">
      <c r="A688" t="str">
        <f>HYPERLINK("https://leetcode.com/problems/reschedule-meetings-for-maximum-free-time-i", "3439. Reschedule Meetings for Maximum Free Time I")</f>
        <v>3439. Reschedule Meetings for Maximum Free Time I</v>
      </c>
      <c r="B688" t="s">
        <v>7</v>
      </c>
      <c r="C688" t="s">
        <v>552</v>
      </c>
      <c r="D688" t="s">
        <v>44</v>
      </c>
    </row>
    <row r="689" spans="1:4" x14ac:dyDescent="0.45">
      <c r="A689" t="str">
        <f>HYPERLINK("https://leetcode.com/problems/magical-string", "481. Magical String")</f>
        <v>481. Magical String</v>
      </c>
      <c r="B689" t="s">
        <v>7</v>
      </c>
      <c r="C689" t="s">
        <v>199</v>
      </c>
      <c r="D689" t="s">
        <v>44</v>
      </c>
    </row>
    <row r="690" spans="1:4" x14ac:dyDescent="0.45">
      <c r="A690" t="str">
        <f>HYPERLINK("https://leetcode.com/problems/rotated-digits", "788. Rotated Digits")</f>
        <v>788. Rotated Digits</v>
      </c>
      <c r="B690" t="s">
        <v>7</v>
      </c>
      <c r="C690" t="s">
        <v>45</v>
      </c>
      <c r="D690" t="s">
        <v>44</v>
      </c>
    </row>
    <row r="691" spans="1:4" x14ac:dyDescent="0.45">
      <c r="A691" t="str">
        <f>HYPERLINK("https://leetcode.com/problems/maximum-width-of-binary-tree", "662. Maximum Width of Binary Tree")</f>
        <v>662. Maximum Width of Binary Tree</v>
      </c>
      <c r="B691" t="s">
        <v>7</v>
      </c>
      <c r="C691" t="s">
        <v>78</v>
      </c>
      <c r="D691" t="s">
        <v>61</v>
      </c>
    </row>
    <row r="692" spans="1:4" x14ac:dyDescent="0.45">
      <c r="A692" t="str">
        <f>HYPERLINK("https://leetcode.com/problems/maximum-candies-allocated-to-k-children", "2226. Maximum Candies Allocated to K Children")</f>
        <v>2226. Maximum Candies Allocated to K Children</v>
      </c>
      <c r="B692" t="s">
        <v>7</v>
      </c>
      <c r="C692" t="s">
        <v>317</v>
      </c>
      <c r="D692" t="s">
        <v>201</v>
      </c>
    </row>
    <row r="693" spans="1:4" x14ac:dyDescent="0.45">
      <c r="A693" t="str">
        <f>HYPERLINK("https://leetcode.com/problems/partition-to-k-equal-sum-subsets", "698. Partition to K Equal Sum Subsets")</f>
        <v>698. Partition to K Equal Sum Subsets</v>
      </c>
      <c r="B693" t="s">
        <v>7</v>
      </c>
      <c r="C693" t="s">
        <v>319</v>
      </c>
      <c r="D693" t="s">
        <v>350</v>
      </c>
    </row>
    <row r="694" spans="1:4" x14ac:dyDescent="0.45">
      <c r="A694" t="str">
        <f>HYPERLINK("https://leetcode.com/problems/minimum-depth-of-binary-tree", "111. Minimum Depth of Binary Tree")</f>
        <v>111. Minimum Depth of Binary Tree</v>
      </c>
      <c r="B694" t="s">
        <v>4</v>
      </c>
      <c r="C694" t="s">
        <v>553</v>
      </c>
      <c r="D694" t="s">
        <v>44</v>
      </c>
    </row>
    <row r="695" spans="1:4" x14ac:dyDescent="0.45">
      <c r="A695" t="str">
        <f>HYPERLINK("https://leetcode.com/problems/tuple-with-same-product", "1726. Tuple with Same Product")</f>
        <v>1726. Tuple with Same Product</v>
      </c>
      <c r="B695" t="s">
        <v>7</v>
      </c>
      <c r="C695" t="s">
        <v>459</v>
      </c>
      <c r="D695" t="s">
        <v>11</v>
      </c>
    </row>
    <row r="696" spans="1:4" x14ac:dyDescent="0.45">
      <c r="A696" t="str">
        <f>HYPERLINK("https://leetcode.com/problems/number-of-subsequences-that-satisfy-the-given-sum-condition", "1498. Number of Subsequences That Satisfy the Given Sum Condition")</f>
        <v>1498. Number of Subsequences That Satisfy the Given Sum Condition</v>
      </c>
      <c r="B696" t="s">
        <v>7</v>
      </c>
      <c r="C696" t="s">
        <v>331</v>
      </c>
      <c r="D696" t="s">
        <v>20</v>
      </c>
    </row>
    <row r="697" spans="1:4" x14ac:dyDescent="0.45">
      <c r="A697" t="str">
        <f>HYPERLINK("https://leetcode.com/problems/check-if-one-string-swap-can-make-strings-equal", "1790. Check if One String Swap Can Make Strings Equal")</f>
        <v>1790. Check if One String Swap Can Make Strings Equal</v>
      </c>
      <c r="B697" t="s">
        <v>4</v>
      </c>
      <c r="C697" t="s">
        <v>301</v>
      </c>
      <c r="D697" t="s">
        <v>54</v>
      </c>
    </row>
    <row r="698" spans="1:4" x14ac:dyDescent="0.45">
      <c r="A698" t="str">
        <f>HYPERLINK("https://leetcode.com/problems/word-frequency", "192. Word Frequency")</f>
        <v>192. Word Frequency</v>
      </c>
      <c r="B698" t="s">
        <v>7</v>
      </c>
      <c r="C698" t="s">
        <v>554</v>
      </c>
      <c r="D698" t="s">
        <v>44</v>
      </c>
    </row>
    <row r="699" spans="1:4" x14ac:dyDescent="0.45">
      <c r="A699" t="str">
        <f>HYPERLINK("https://leetcode.com/problems/design-a-number-container-system", "2349. Design a Number Container System")</f>
        <v>2349. Design a Number Container System</v>
      </c>
      <c r="B699" t="s">
        <v>7</v>
      </c>
      <c r="C699" t="s">
        <v>345</v>
      </c>
      <c r="D699" t="s">
        <v>44</v>
      </c>
    </row>
    <row r="700" spans="1:4" x14ac:dyDescent="0.45">
      <c r="A700" t="str">
        <f>HYPERLINK("https://leetcode.com/problems/number-of-closed-islands", "1254. Number of Closed Islands")</f>
        <v>1254. Number of Closed Islands</v>
      </c>
      <c r="B700" t="s">
        <v>7</v>
      </c>
      <c r="C700" t="s">
        <v>174</v>
      </c>
      <c r="D700" t="s">
        <v>34</v>
      </c>
    </row>
    <row r="701" spans="1:4" x14ac:dyDescent="0.45">
      <c r="A701" t="str">
        <f>HYPERLINK("https://leetcode.com/problems/find-the-number-of-distinct-colors-among-the-balls", "3160. Find the Number of Distinct Colors Among the Balls")</f>
        <v>3160. Find the Number of Distinct Colors Among the Balls</v>
      </c>
      <c r="B701" t="s">
        <v>7</v>
      </c>
      <c r="C701" t="s">
        <v>275</v>
      </c>
      <c r="D701" t="s">
        <v>234</v>
      </c>
    </row>
    <row r="702" spans="1:4" x14ac:dyDescent="0.45">
      <c r="A702" t="str">
        <f>HYPERLINK("https://leetcode.com/problems/longest-strictly-increasing-or-strictly-decreasing-subarray", "3105. Longest Strictly Increasing or Strictly Decreasing Subarray")</f>
        <v>3105. Longest Strictly Increasing or Strictly Decreasing Subarray</v>
      </c>
      <c r="B702" t="s">
        <v>4</v>
      </c>
      <c r="C702" t="s">
        <v>446</v>
      </c>
      <c r="D702" t="s">
        <v>63</v>
      </c>
    </row>
    <row r="703" spans="1:4" x14ac:dyDescent="0.45">
      <c r="A703" t="str">
        <f>HYPERLINK("https://leetcode.com/problems/find-the-maximum-achievable-number", "2769. Find the Maximum Achievable Number")</f>
        <v>2769. Find the Maximum Achievable Number</v>
      </c>
      <c r="B703" t="s">
        <v>4</v>
      </c>
      <c r="C703" t="s">
        <v>555</v>
      </c>
      <c r="D703" t="s">
        <v>61</v>
      </c>
    </row>
    <row r="704" spans="1:4" x14ac:dyDescent="0.45">
      <c r="A704" t="str">
        <f>HYPERLINK("https://leetcode.com/problems/recover-binary-search-tree", "99. Recover Binary Search Tree")</f>
        <v>99. Recover Binary Search Tree</v>
      </c>
      <c r="B704" t="s">
        <v>7</v>
      </c>
      <c r="C704" t="s">
        <v>163</v>
      </c>
      <c r="D704" t="s">
        <v>128</v>
      </c>
    </row>
    <row r="705" spans="1:4" x14ac:dyDescent="0.45">
      <c r="A705" t="str">
        <f>HYPERLINK("https://leetcode.com/problems/describe-the-painting", "1943. Describe the Painting")</f>
        <v>1943. Describe the Painting</v>
      </c>
      <c r="B705" t="s">
        <v>7</v>
      </c>
      <c r="C705" t="s">
        <v>556</v>
      </c>
      <c r="D705" t="s">
        <v>44</v>
      </c>
    </row>
    <row r="706" spans="1:4" x14ac:dyDescent="0.45">
      <c r="A706" t="str">
        <f>HYPERLINK("https://leetcode.com/problems/root-equals-sum-of-children", "2236. Root Equals Sum of Children")</f>
        <v>2236. Root Equals Sum of Children</v>
      </c>
      <c r="B706" t="s">
        <v>4</v>
      </c>
      <c r="C706" t="s">
        <v>540</v>
      </c>
      <c r="D706" t="s">
        <v>34</v>
      </c>
    </row>
    <row r="707" spans="1:4" x14ac:dyDescent="0.45">
      <c r="A707" t="str">
        <f>HYPERLINK("https://leetcode.com/problems/count-number-of-bad-pairs", "2364. Count Number of Bad Pairs")</f>
        <v>2364. Count Number of Bad Pairs</v>
      </c>
      <c r="B707" t="s">
        <v>7</v>
      </c>
      <c r="C707" t="s">
        <v>307</v>
      </c>
      <c r="D707" t="s">
        <v>61</v>
      </c>
    </row>
    <row r="708" spans="1:4" x14ac:dyDescent="0.45">
      <c r="A708" t="str">
        <f>HYPERLINK("https://leetcode.com/problems/best-time-to-buy-and-sell-stock-iv", "188. Best Time to Buy and Sell Stock IV")</f>
        <v>188. Best Time to Buy and Sell Stock IV</v>
      </c>
      <c r="B708" t="s">
        <v>12</v>
      </c>
      <c r="C708" t="s">
        <v>138</v>
      </c>
      <c r="D708" t="s">
        <v>514</v>
      </c>
    </row>
    <row r="709" spans="1:4" x14ac:dyDescent="0.45">
      <c r="A709" t="str">
        <f>HYPERLINK("https://leetcode.com/problems/minimum-operations-to-make-the-array-increasing", "1827. Minimum Operations to Make the Array Increasing")</f>
        <v>1827. Minimum Operations to Make the Array Increasing</v>
      </c>
      <c r="B709" t="s">
        <v>4</v>
      </c>
      <c r="C709" t="s">
        <v>469</v>
      </c>
      <c r="D709" t="s">
        <v>44</v>
      </c>
    </row>
    <row r="710" spans="1:4" x14ac:dyDescent="0.45">
      <c r="A710" t="str">
        <f>HYPERLINK("https://leetcode.com/problems/remove-all-occurrences-of-a-substring", "1910. Remove All Occurrences of a Substring")</f>
        <v>1910. Remove All Occurrences of a Substring</v>
      </c>
      <c r="B710" t="s">
        <v>7</v>
      </c>
      <c r="C710" t="s">
        <v>557</v>
      </c>
      <c r="D710" t="s">
        <v>558</v>
      </c>
    </row>
    <row r="711" spans="1:4" x14ac:dyDescent="0.45">
      <c r="A711" t="str">
        <f>HYPERLINK("https://leetcode.com/problems/find-numbers-with-even-number-of-digits", "1295. Find Numbers with Even Number of Digits")</f>
        <v>1295. Find Numbers with Even Number of Digits</v>
      </c>
      <c r="B711" t="s">
        <v>4</v>
      </c>
      <c r="C711" t="s">
        <v>394</v>
      </c>
      <c r="D711" t="s">
        <v>44</v>
      </c>
    </row>
    <row r="712" spans="1:4" x14ac:dyDescent="0.45">
      <c r="A712" t="str">
        <f>HYPERLINK("https://leetcode.com/problems/remove-outermost-parentheses", "1021. Remove Outermost Parentheses")</f>
        <v>1021. Remove Outermost Parentheses</v>
      </c>
      <c r="B712" t="s">
        <v>4</v>
      </c>
      <c r="C712" t="s">
        <v>94</v>
      </c>
      <c r="D712" t="s">
        <v>128</v>
      </c>
    </row>
    <row r="713" spans="1:4" x14ac:dyDescent="0.45">
      <c r="A713" t="str">
        <f>HYPERLINK("https://leetcode.com/problems/convert-bst-to-greater-tree", "538. Convert BST to Greater Tree")</f>
        <v>538. Convert BST to Greater Tree</v>
      </c>
      <c r="B713" t="s">
        <v>7</v>
      </c>
      <c r="C713" t="s">
        <v>559</v>
      </c>
      <c r="D713" t="s">
        <v>44</v>
      </c>
    </row>
    <row r="714" spans="1:4" x14ac:dyDescent="0.45">
      <c r="A714" t="str">
        <f>HYPERLINK("https://leetcode.com/problems/max-sum-of-a-pair-with-equal-sum-of-digits", "2342. Max Sum of a Pair With Equal Sum of Digits")</f>
        <v>2342. Max Sum of a Pair With Equal Sum of Digits</v>
      </c>
      <c r="B714" t="s">
        <v>7</v>
      </c>
      <c r="C714" t="s">
        <v>560</v>
      </c>
      <c r="D714" t="s">
        <v>11</v>
      </c>
    </row>
    <row r="715" spans="1:4" x14ac:dyDescent="0.45">
      <c r="A715" t="str">
        <f>HYPERLINK("https://leetcode.com/problems/dungeon-game", "174. Dungeon Game")</f>
        <v>174. Dungeon Game</v>
      </c>
      <c r="B715" t="s">
        <v>12</v>
      </c>
      <c r="C715" t="s">
        <v>561</v>
      </c>
      <c r="D715" t="s">
        <v>61</v>
      </c>
    </row>
    <row r="716" spans="1:4" x14ac:dyDescent="0.45">
      <c r="A716" t="str">
        <f>HYPERLINK("https://leetcode.com/problems/convert-the-temperature", "2469. Convert the Temperature")</f>
        <v>2469. Convert the Temperature</v>
      </c>
      <c r="B716" t="s">
        <v>4</v>
      </c>
      <c r="C716" t="s">
        <v>386</v>
      </c>
      <c r="D716" t="s">
        <v>44</v>
      </c>
    </row>
    <row r="717" spans="1:4" x14ac:dyDescent="0.45">
      <c r="A717" t="str">
        <f>HYPERLINK("https://leetcode.com/problems/minimum-time-to-complete-trips", "2187. Minimum Time to Complete Trips")</f>
        <v>2187. Minimum Time to Complete Trips</v>
      </c>
      <c r="B717" t="s">
        <v>7</v>
      </c>
      <c r="C717" t="s">
        <v>562</v>
      </c>
      <c r="D717" t="s">
        <v>44</v>
      </c>
    </row>
    <row r="718" spans="1:4" x14ac:dyDescent="0.45">
      <c r="A718" t="str">
        <f>HYPERLINK("https://leetcode.com/problems/sequence-reconstruction", "444. Sequence Reconstruction")</f>
        <v>444. Sequence Reconstruction</v>
      </c>
      <c r="B718" t="s">
        <v>7</v>
      </c>
      <c r="C718" t="s">
        <v>563</v>
      </c>
      <c r="D718" t="s">
        <v>44</v>
      </c>
    </row>
    <row r="719" spans="1:4" x14ac:dyDescent="0.45">
      <c r="A719" t="str">
        <f>HYPERLINK("https://leetcode.com/problems/minimum-operations-to-exceed-threshold-value-ii", "3066. Minimum Operations to Exceed Threshold Value II")</f>
        <v>3066. Minimum Operations to Exceed Threshold Value II</v>
      </c>
      <c r="B719" t="s">
        <v>7</v>
      </c>
      <c r="C719" t="s">
        <v>388</v>
      </c>
      <c r="D719" t="s">
        <v>68</v>
      </c>
    </row>
    <row r="720" spans="1:4" x14ac:dyDescent="0.45">
      <c r="A720" t="str">
        <f>HYPERLINK("https://leetcode.com/problems/product-of-the-last-k-numbers", "1352. Product of the Last K Numbers")</f>
        <v>1352. Product of the Last K Numbers</v>
      </c>
      <c r="B720" t="s">
        <v>7</v>
      </c>
      <c r="C720" t="s">
        <v>73</v>
      </c>
      <c r="D720" t="s">
        <v>63</v>
      </c>
    </row>
    <row r="721" spans="1:4" x14ac:dyDescent="0.45">
      <c r="A721" t="str">
        <f>HYPERLINK("https://leetcode.com/problems/implement-rand10()-using-rand7()", "470. Implement Rand10() Using Rand7()")</f>
        <v>470. Implement Rand10() Using Rand7()</v>
      </c>
      <c r="B721" t="s">
        <v>7</v>
      </c>
      <c r="C721" t="s">
        <v>106</v>
      </c>
      <c r="D721" t="s">
        <v>350</v>
      </c>
    </row>
    <row r="722" spans="1:4" x14ac:dyDescent="0.45">
      <c r="A722" t="str">
        <f>HYPERLINK("https://leetcode.com/problems/find-the-punishment-number-of-an-integer", "2698. Find the Punishment Number of an Integer")</f>
        <v>2698. Find the Punishment Number of an Integer</v>
      </c>
      <c r="B722" t="s">
        <v>7</v>
      </c>
      <c r="C722" t="s">
        <v>548</v>
      </c>
      <c r="D722" t="s">
        <v>234</v>
      </c>
    </row>
    <row r="723" spans="1:4" x14ac:dyDescent="0.45">
      <c r="A723" t="str">
        <f>HYPERLINK("https://leetcode.com/problems/construct-the-lexicographically-largest-valid-sequence", "1718. Construct the Lexicographically Largest Valid Sequence")</f>
        <v>1718. Construct the Lexicographically Largest Valid Sequence</v>
      </c>
      <c r="B723" t="s">
        <v>7</v>
      </c>
      <c r="C723" t="s">
        <v>507</v>
      </c>
      <c r="D723" t="s">
        <v>61</v>
      </c>
    </row>
    <row r="724" spans="1:4" x14ac:dyDescent="0.45">
      <c r="A724" t="str">
        <f>HYPERLINK("https://leetcode.com/problems/separate-squares-i", "3453. Separate Squares I")</f>
        <v>3453. Separate Squares I</v>
      </c>
      <c r="B724" t="s">
        <v>7</v>
      </c>
      <c r="C724" t="s">
        <v>118</v>
      </c>
      <c r="D724" t="s">
        <v>234</v>
      </c>
    </row>
    <row r="725" spans="1:4" x14ac:dyDescent="0.45">
      <c r="A725" t="str">
        <f>HYPERLINK("https://leetcode.com/problems/sort-array-by-increasing-frequency", "1636. Sort Array by Increasing Frequency")</f>
        <v>1636. Sort Array by Increasing Frequency</v>
      </c>
      <c r="B725" t="s">
        <v>4</v>
      </c>
      <c r="C725" t="s">
        <v>564</v>
      </c>
      <c r="D725" t="s">
        <v>34</v>
      </c>
    </row>
    <row r="726" spans="1:4" x14ac:dyDescent="0.45">
      <c r="A726" t="str">
        <f>HYPERLINK("https://leetcode.com/problems/letter-tile-possibilities", "1079. Letter Tile Possibilities")</f>
        <v>1079. Letter Tile Possibilities</v>
      </c>
      <c r="B726" t="s">
        <v>7</v>
      </c>
      <c r="C726" t="s">
        <v>565</v>
      </c>
      <c r="D726" t="s">
        <v>566</v>
      </c>
    </row>
    <row r="727" spans="1:4" x14ac:dyDescent="0.45">
      <c r="A727" t="str">
        <f>HYPERLINK("https://leetcode.com/problems/construct-smallest-number-from-di-string", "2375. Construct Smallest Number From DI String")</f>
        <v>2375. Construct Smallest Number From DI String</v>
      </c>
      <c r="B727" t="s">
        <v>7</v>
      </c>
      <c r="C727" t="s">
        <v>567</v>
      </c>
      <c r="D727" t="s">
        <v>514</v>
      </c>
    </row>
    <row r="728" spans="1:4" x14ac:dyDescent="0.45">
      <c r="A728" t="str">
        <f>HYPERLINK("https://leetcode.com/problems/online-election", "911. Online Election")</f>
        <v>911. Online Election</v>
      </c>
      <c r="B728" t="s">
        <v>7</v>
      </c>
      <c r="C728" t="s">
        <v>182</v>
      </c>
      <c r="D728" t="s">
        <v>44</v>
      </c>
    </row>
    <row r="729" spans="1:4" x14ac:dyDescent="0.45">
      <c r="A729" t="str">
        <f>HYPERLINK("https://leetcode.com/problems/the-k-th-lexicographical-string-of-all-happy-strings-of-length-n", "1415. The k-th Lexicographical String of All Happy Strings of Length n")</f>
        <v>1415. The k-th Lexicographical String of All Happy Strings of Length n</v>
      </c>
      <c r="B729" t="s">
        <v>7</v>
      </c>
      <c r="C729" t="s">
        <v>568</v>
      </c>
      <c r="D729" t="s">
        <v>20</v>
      </c>
    </row>
    <row r="730" spans="1:4" x14ac:dyDescent="0.45">
      <c r="A730" t="str">
        <f>HYPERLINK("https://leetcode.com/problems/minimum-weighted-subgraph-with-the-required-paths", "2203. Minimum Weighted Subgraph With the Required Paths")</f>
        <v>2203. Minimum Weighted Subgraph With the Required Paths</v>
      </c>
      <c r="B730" t="s">
        <v>12</v>
      </c>
      <c r="C730" t="s">
        <v>289</v>
      </c>
      <c r="D730" t="s">
        <v>44</v>
      </c>
    </row>
    <row r="731" spans="1:4" x14ac:dyDescent="0.45">
      <c r="A731" t="str">
        <f>HYPERLINK("https://leetcode.com/problems/number-of-islands-ii", "305. Number of Islands II")</f>
        <v>305. Number of Islands II</v>
      </c>
      <c r="B731" t="s">
        <v>12</v>
      </c>
      <c r="C731" t="s">
        <v>383</v>
      </c>
      <c r="D731" t="s">
        <v>482</v>
      </c>
    </row>
    <row r="732" spans="1:4" x14ac:dyDescent="0.45">
      <c r="A732" t="str">
        <f>HYPERLINK("https://leetcode.com/problems/stone-game-iii", "1406. Stone Game III")</f>
        <v>1406. Stone Game III</v>
      </c>
      <c r="B732" t="s">
        <v>12</v>
      </c>
      <c r="C732" t="s">
        <v>569</v>
      </c>
      <c r="D732" t="s">
        <v>44</v>
      </c>
    </row>
    <row r="733" spans="1:4" x14ac:dyDescent="0.45">
      <c r="A733" t="str">
        <f>HYPERLINK("https://leetcode.com/problems/distinct-subsequences", "115. Distinct Subsequences")</f>
        <v>115. Distinct Subsequences</v>
      </c>
      <c r="B733" t="s">
        <v>12</v>
      </c>
      <c r="C733" t="s">
        <v>570</v>
      </c>
      <c r="D733" t="s">
        <v>338</v>
      </c>
    </row>
    <row r="734" spans="1:4" x14ac:dyDescent="0.45">
      <c r="A734" t="str">
        <f>HYPERLINK("https://leetcode.com/problems/car-fleet", "853. Car Fleet")</f>
        <v>853. Car Fleet</v>
      </c>
      <c r="B734" t="s">
        <v>7</v>
      </c>
      <c r="C734" t="s">
        <v>180</v>
      </c>
      <c r="D734" t="s">
        <v>44</v>
      </c>
    </row>
    <row r="735" spans="1:4" x14ac:dyDescent="0.45">
      <c r="A735" t="str">
        <f>HYPERLINK("https://leetcode.com/problems/base-7", "504. Base 7")</f>
        <v>504. Base 7</v>
      </c>
      <c r="B735" t="s">
        <v>4</v>
      </c>
      <c r="C735" t="s">
        <v>448</v>
      </c>
      <c r="D735" t="s">
        <v>61</v>
      </c>
    </row>
    <row r="736" spans="1:4" x14ac:dyDescent="0.45">
      <c r="A736" t="str">
        <f>HYPERLINK("https://leetcode.com/problems/find-unique-binary-string", "1980. Find Unique Binary String")</f>
        <v>1980. Find Unique Binary String</v>
      </c>
      <c r="B736" t="s">
        <v>7</v>
      </c>
      <c r="C736" t="s">
        <v>571</v>
      </c>
      <c r="D736" t="s">
        <v>63</v>
      </c>
    </row>
    <row r="737" spans="1:4" x14ac:dyDescent="0.45">
      <c r="A737" t="str">
        <f>HYPERLINK("https://leetcode.com/problems/flip-string-to-monotone-increasing", "926. Flip String to Monotone Increasing")</f>
        <v>926. Flip String to Monotone Increasing</v>
      </c>
      <c r="B737" t="s">
        <v>7</v>
      </c>
      <c r="C737" t="s">
        <v>544</v>
      </c>
      <c r="D737" t="s">
        <v>61</v>
      </c>
    </row>
    <row r="738" spans="1:4" x14ac:dyDescent="0.45">
      <c r="A738" t="str">
        <f>HYPERLINK("https://leetcode.com/problems/count-pairs-whose-sum-is-less-than-target", "2824. Count Pairs Whose Sum is Less than Target")</f>
        <v>2824. Count Pairs Whose Sum is Less than Target</v>
      </c>
      <c r="B738" t="s">
        <v>4</v>
      </c>
      <c r="C738" t="s">
        <v>389</v>
      </c>
      <c r="D738" t="s">
        <v>44</v>
      </c>
    </row>
    <row r="739" spans="1:4" x14ac:dyDescent="0.45">
      <c r="A739" t="str">
        <f>HYPERLINK("https://leetcode.com/problems/recover-a-tree-from-preorder-traversal", "1028. Recover a Tree From Preorder Traversal")</f>
        <v>1028. Recover a Tree From Preorder Traversal</v>
      </c>
      <c r="B739" t="s">
        <v>12</v>
      </c>
      <c r="C739" t="s">
        <v>572</v>
      </c>
      <c r="D739" t="s">
        <v>54</v>
      </c>
    </row>
    <row r="740" spans="1:4" x14ac:dyDescent="0.45">
      <c r="A740" t="str">
        <f>HYPERLINK("https://leetcode.com/problems/shortest-subarray-to-be-removed-to-make-array-sorted", "1574. Shortest Subarray to be Removed to Make Array Sorted")</f>
        <v>1574. Shortest Subarray to be Removed to Make Array Sorted</v>
      </c>
      <c r="B740" t="s">
        <v>7</v>
      </c>
      <c r="C740" t="s">
        <v>573</v>
      </c>
      <c r="D740" t="s">
        <v>393</v>
      </c>
    </row>
    <row r="741" spans="1:4" x14ac:dyDescent="0.45">
      <c r="A741" t="str">
        <f>HYPERLINK("https://leetcode.com/problems/construct-binary-tree-from-preorder-and-postorder-traversal", "889. Construct Binary Tree from Preorder and Postorder Traversal")</f>
        <v>889. Construct Binary Tree from Preorder and Postorder Traversal</v>
      </c>
      <c r="B741" t="s">
        <v>7</v>
      </c>
      <c r="C741" t="s">
        <v>557</v>
      </c>
      <c r="D741" t="s">
        <v>330</v>
      </c>
    </row>
    <row r="742" spans="1:4" x14ac:dyDescent="0.45">
      <c r="A742" t="str">
        <f>HYPERLINK("https://leetcode.com/problems/maximize-the-confusion-of-an-exam", "2024. Maximize the Confusion of an Exam")</f>
        <v>2024. Maximize the Confusion of an Exam</v>
      </c>
      <c r="B742" t="s">
        <v>7</v>
      </c>
      <c r="C742" t="s">
        <v>381</v>
      </c>
      <c r="D742" t="s">
        <v>44</v>
      </c>
    </row>
    <row r="743" spans="1:4" x14ac:dyDescent="0.45">
      <c r="A743" t="str">
        <f>HYPERLINK("https://leetcode.com/problems/number-of-sub-arrays-with-odd-sum", "1524. Number of Sub-arrays With Odd Sum")</f>
        <v>1524. Number of Sub-arrays With Odd Sum</v>
      </c>
      <c r="B743" t="s">
        <v>7</v>
      </c>
      <c r="C743" t="s">
        <v>326</v>
      </c>
      <c r="D743" t="s">
        <v>309</v>
      </c>
    </row>
    <row r="744" spans="1:4" x14ac:dyDescent="0.45">
      <c r="A744" t="str">
        <f>HYPERLINK("https://leetcode.com/problems/maximum-subarray-min-product", "1856. Maximum Subarray Min-Product")</f>
        <v>1856. Maximum Subarray Min-Product</v>
      </c>
      <c r="B744" t="s">
        <v>7</v>
      </c>
      <c r="C744" t="s">
        <v>465</v>
      </c>
      <c r="D744" t="s">
        <v>61</v>
      </c>
    </row>
    <row r="745" spans="1:4" x14ac:dyDescent="0.45">
      <c r="A745" t="str">
        <f>HYPERLINK("https://leetcode.com/problems/cells-with-odd-values-in-a-matrix", "1252. Cells with Odd Values in a Matrix")</f>
        <v>1252. Cells with Odd Values in a Matrix</v>
      </c>
      <c r="B745" t="s">
        <v>4</v>
      </c>
      <c r="C745" t="s">
        <v>476</v>
      </c>
      <c r="D745" t="s">
        <v>44</v>
      </c>
    </row>
    <row r="746" spans="1:4" x14ac:dyDescent="0.45">
      <c r="A746" t="str">
        <f>HYPERLINK("https://leetcode.com/problems/maximum-absolute-sum-of-any-subarray", "1749. Maximum Absolute Sum of Any Subarray")</f>
        <v>1749. Maximum Absolute Sum of Any Subarray</v>
      </c>
      <c r="B746" t="s">
        <v>7</v>
      </c>
      <c r="C746" t="s">
        <v>400</v>
      </c>
      <c r="D746" t="s">
        <v>91</v>
      </c>
    </row>
    <row r="747" spans="1:4" x14ac:dyDescent="0.45">
      <c r="A747" t="str">
        <f>HYPERLINK("https://leetcode.com/problems/length-of-longest-fibonacci-subsequence", "873. Length of Longest Fibonacci Subsequence")</f>
        <v>873. Length of Longest Fibonacci Subsequence</v>
      </c>
      <c r="B747" t="s">
        <v>7</v>
      </c>
      <c r="C747" t="s">
        <v>261</v>
      </c>
      <c r="D747" t="s">
        <v>128</v>
      </c>
    </row>
    <row r="748" spans="1:4" x14ac:dyDescent="0.45">
      <c r="A748" t="str">
        <f>HYPERLINK("https://leetcode.com/problems/shortest-common-supersequence", "1092. Shortest Common Supersequence")</f>
        <v>1092. Shortest Common Supersequence</v>
      </c>
      <c r="B748" t="s">
        <v>12</v>
      </c>
      <c r="C748" t="s">
        <v>205</v>
      </c>
      <c r="D748" t="s">
        <v>54</v>
      </c>
    </row>
    <row r="749" spans="1:4" x14ac:dyDescent="0.45">
      <c r="A749" t="str">
        <f>HYPERLINK("https://leetcode.com/problems/find-mode-in-binary-search-tree", "501. Find Mode in Binary Search Tree")</f>
        <v>501. Find Mode in Binary Search Tree</v>
      </c>
      <c r="B749" t="s">
        <v>4</v>
      </c>
      <c r="C749" t="s">
        <v>574</v>
      </c>
      <c r="D749" t="s">
        <v>34</v>
      </c>
    </row>
    <row r="750" spans="1:4" x14ac:dyDescent="0.45">
      <c r="A750" t="str">
        <f>HYPERLINK("https://leetcode.com/problems/design-excel-sum-formula", "631. Design Excel Sum Formula")</f>
        <v>631. Design Excel Sum Formula</v>
      </c>
      <c r="B750" t="s">
        <v>12</v>
      </c>
      <c r="C750" t="s">
        <v>366</v>
      </c>
      <c r="D750" t="s">
        <v>61</v>
      </c>
    </row>
    <row r="751" spans="1:4" x14ac:dyDescent="0.45">
      <c r="A751" t="str">
        <f>HYPERLINK("https://leetcode.com/problems/watering-plants", "2079. Watering Plants")</f>
        <v>2079. Watering Plants</v>
      </c>
      <c r="B751" t="s">
        <v>7</v>
      </c>
      <c r="C751" t="s">
        <v>575</v>
      </c>
      <c r="D751" t="s">
        <v>44</v>
      </c>
    </row>
    <row r="752" spans="1:4" x14ac:dyDescent="0.45">
      <c r="A752" t="str">
        <f>HYPERLINK("https://leetcode.com/problems/count-triplets-that-can-form-two-arrays-of-equal-xor", "1442. Count Triplets That Can Form Two Arrays of Equal XOR")</f>
        <v>1442. Count Triplets That Can Form Two Arrays of Equal XOR</v>
      </c>
      <c r="B752" t="s">
        <v>7</v>
      </c>
      <c r="C752" t="s">
        <v>576</v>
      </c>
      <c r="D752" t="s">
        <v>44</v>
      </c>
    </row>
    <row r="753" spans="1:4" x14ac:dyDescent="0.45">
      <c r="A753" t="str">
        <f>HYPERLINK("https://leetcode.com/problems/word-pattern", "290. Word Pattern")</f>
        <v>290. Word Pattern</v>
      </c>
      <c r="B753" t="s">
        <v>4</v>
      </c>
      <c r="C753" t="s">
        <v>414</v>
      </c>
      <c r="D753" t="s">
        <v>91</v>
      </c>
    </row>
    <row r="754" spans="1:4" x14ac:dyDescent="0.45">
      <c r="A754" t="str">
        <f>HYPERLINK("https://leetcode.com/problems/read-n-characters-given-read4", "157. Read N Characters Given Read4")</f>
        <v>157. Read N Characters Given Read4</v>
      </c>
      <c r="B754" t="s">
        <v>4</v>
      </c>
      <c r="C754" t="s">
        <v>577</v>
      </c>
      <c r="D754" t="s">
        <v>44</v>
      </c>
    </row>
    <row r="755" spans="1:4" x14ac:dyDescent="0.45">
      <c r="A755" t="str">
        <f>HYPERLINK("https://leetcode.com/problems/divisible-and-non-divisible-sums-difference", "2894. Divisible and Non-divisible Sums Difference")</f>
        <v>2894. Divisible and Non-divisible Sums Difference</v>
      </c>
      <c r="B755" t="s">
        <v>4</v>
      </c>
      <c r="C755" t="s">
        <v>578</v>
      </c>
      <c r="D755" t="s">
        <v>44</v>
      </c>
    </row>
    <row r="756" spans="1:4" x14ac:dyDescent="0.45">
      <c r="A756" t="str">
        <f>HYPERLINK("https://leetcode.com/problems/number-of-operations-to-make-network-connected", "1319. Number of Operations to Make Network Connected")</f>
        <v>1319. Number of Operations to Make Network Connected</v>
      </c>
      <c r="B756" t="s">
        <v>7</v>
      </c>
      <c r="C756" t="s">
        <v>259</v>
      </c>
      <c r="D756" t="s">
        <v>44</v>
      </c>
    </row>
    <row r="757" spans="1:4" x14ac:dyDescent="0.45">
      <c r="A757" t="str">
        <f>HYPERLINK("https://leetcode.com/problems/maximum-twin-sum-of-a-linked-list", "2130. Maximum Twin Sum of a Linked List")</f>
        <v>2130. Maximum Twin Sum of a Linked List</v>
      </c>
      <c r="B757" t="s">
        <v>7</v>
      </c>
      <c r="C757" t="s">
        <v>579</v>
      </c>
      <c r="D757" t="s">
        <v>61</v>
      </c>
    </row>
    <row r="758" spans="1:4" x14ac:dyDescent="0.45">
      <c r="A758" t="str">
        <f>HYPERLINK("https://leetcode.com/problems/apply-operations-to-an-array", "2460. Apply Operations to an Array")</f>
        <v>2460. Apply Operations to an Array</v>
      </c>
      <c r="B758" t="s">
        <v>4</v>
      </c>
      <c r="C758" t="s">
        <v>580</v>
      </c>
      <c r="D758" t="s">
        <v>68</v>
      </c>
    </row>
    <row r="759" spans="1:4" x14ac:dyDescent="0.45">
      <c r="A759" t="str">
        <f>HYPERLINK("https://leetcode.com/problems/design-browser-history", "1472. Design Browser History")</f>
        <v>1472. Design Browser History</v>
      </c>
      <c r="B759" t="s">
        <v>7</v>
      </c>
      <c r="C759" t="s">
        <v>557</v>
      </c>
      <c r="D759" t="s">
        <v>234</v>
      </c>
    </row>
    <row r="760" spans="1:4" x14ac:dyDescent="0.45">
      <c r="A760" t="str">
        <f>HYPERLINK("https://leetcode.com/problems/robot-return-to-origin", "657. Robot Return to Origin")</f>
        <v>657. Robot Return to Origin</v>
      </c>
      <c r="B760" t="s">
        <v>4</v>
      </c>
      <c r="C760" t="s">
        <v>581</v>
      </c>
      <c r="D760" t="s">
        <v>91</v>
      </c>
    </row>
    <row r="761" spans="1:4" x14ac:dyDescent="0.45">
      <c r="A761" t="str">
        <f>HYPERLINK("https://leetcode.com/problems/merge-two-2d-arrays-by-summing-values", "2570. Merge Two 2D Arrays by Summing Values")</f>
        <v>2570. Merge Two 2D Arrays by Summing Values</v>
      </c>
      <c r="B761" t="s">
        <v>4</v>
      </c>
      <c r="C761" t="s">
        <v>85</v>
      </c>
      <c r="D761" t="s">
        <v>34</v>
      </c>
    </row>
    <row r="762" spans="1:4" x14ac:dyDescent="0.45">
      <c r="A762" t="str">
        <f>HYPERLINK("https://leetcode.com/problems/find-in-mountain-array", "1095. Find in Mountain Array")</f>
        <v>1095. Find in Mountain Array</v>
      </c>
      <c r="B762" t="s">
        <v>12</v>
      </c>
      <c r="C762" t="s">
        <v>582</v>
      </c>
      <c r="D762" t="s">
        <v>393</v>
      </c>
    </row>
    <row r="763" spans="1:4" x14ac:dyDescent="0.45">
      <c r="A763" t="str">
        <f>HYPERLINK("https://leetcode.com/problems/partition-array-according-to-given-pivot", "2161. Partition Array According to Given Pivot")</f>
        <v>2161. Partition Array According to Given Pivot</v>
      </c>
      <c r="B763" t="s">
        <v>7</v>
      </c>
      <c r="C763" t="s">
        <v>583</v>
      </c>
      <c r="D763" t="s">
        <v>128</v>
      </c>
    </row>
    <row r="764" spans="1:4" x14ac:dyDescent="0.45">
      <c r="A764" t="str">
        <f>HYPERLINK("https://leetcode.com/problems/find-the-xor-of-numbers-which-appear-twice", "3158. Find the XOR of Numbers Which Appear Twice")</f>
        <v>3158. Find the XOR of Numbers Which Appear Twice</v>
      </c>
      <c r="B764" t="s">
        <v>4</v>
      </c>
      <c r="C764" t="s">
        <v>494</v>
      </c>
      <c r="D764" t="s">
        <v>44</v>
      </c>
    </row>
    <row r="765" spans="1:4" x14ac:dyDescent="0.45">
      <c r="A765" t="str">
        <f>HYPERLINK("https://leetcode.com/problems/number-of-distinct-islands-ii", "711. Number of Distinct Islands II")</f>
        <v>711. Number of Distinct Islands II</v>
      </c>
      <c r="B765" t="s">
        <v>12</v>
      </c>
      <c r="C765" t="s">
        <v>307</v>
      </c>
      <c r="D765" t="s">
        <v>44</v>
      </c>
    </row>
    <row r="766" spans="1:4" x14ac:dyDescent="0.45">
      <c r="A766" t="str">
        <f>HYPERLINK("https://leetcode.com/problems/check-if-number-is-a-sum-of-powers-of-three", "1780. Check if Number is a Sum of Powers of Three")</f>
        <v>1780. Check if Number is a Sum of Powers of Three</v>
      </c>
      <c r="B766" t="s">
        <v>7</v>
      </c>
      <c r="C766" t="s">
        <v>584</v>
      </c>
      <c r="D766" t="s">
        <v>234</v>
      </c>
    </row>
    <row r="767" spans="1:4" x14ac:dyDescent="0.45">
      <c r="A767" t="str">
        <f>HYPERLINK("https://leetcode.com/problems/reverse-bits", "190. Reverse Bits")</f>
        <v>190. Reverse Bits</v>
      </c>
      <c r="B767" t="s">
        <v>4</v>
      </c>
      <c r="C767" t="s">
        <v>415</v>
      </c>
      <c r="D767" t="s">
        <v>585</v>
      </c>
    </row>
    <row r="768" spans="1:4" x14ac:dyDescent="0.45">
      <c r="A768" t="str">
        <f>HYPERLINK("https://leetcode.com/problems/print-binary-tree", "655. Print Binary Tree")</f>
        <v>655. Print Binary Tree</v>
      </c>
      <c r="B768" t="s">
        <v>7</v>
      </c>
      <c r="C768" t="s">
        <v>297</v>
      </c>
      <c r="D768" t="s">
        <v>34</v>
      </c>
    </row>
    <row r="769" spans="1:4" x14ac:dyDescent="0.45">
      <c r="A769" t="str">
        <f>HYPERLINK("https://leetcode.com/problems/find-indices-of-stable-mountains", "3285. Find Indices of Stable Mountains")</f>
        <v>3285. Find Indices of Stable Mountains</v>
      </c>
      <c r="B769" t="s">
        <v>4</v>
      </c>
      <c r="C769" t="s">
        <v>586</v>
      </c>
      <c r="D769" t="s">
        <v>44</v>
      </c>
    </row>
    <row r="770" spans="1:4" x14ac:dyDescent="0.45">
      <c r="A770" t="str">
        <f>HYPERLINK("https://leetcode.com/problems/lfu-cache", "460. LFU Cache")</f>
        <v>460. LFU Cache</v>
      </c>
      <c r="B770" t="s">
        <v>12</v>
      </c>
      <c r="C770" t="s">
        <v>194</v>
      </c>
      <c r="D770" t="s">
        <v>587</v>
      </c>
    </row>
    <row r="771" spans="1:4" x14ac:dyDescent="0.45">
      <c r="A771" t="str">
        <f>HYPERLINK("https://leetcode.com/problems/serialize-and-deserialize-n-ary-tree", "428. Serialize and Deserialize N-ary Tree")</f>
        <v>428. Serialize and Deserialize N-ary Tree</v>
      </c>
      <c r="B771" t="s">
        <v>12</v>
      </c>
      <c r="C771" t="s">
        <v>17</v>
      </c>
      <c r="D771" t="s">
        <v>234</v>
      </c>
    </row>
    <row r="772" spans="1:4" x14ac:dyDescent="0.45">
      <c r="A772" t="str">
        <f>HYPERLINK("https://leetcode.com/problems/sort-by", "2724. Sort By")</f>
        <v>2724. Sort By</v>
      </c>
      <c r="B772" t="s">
        <v>4</v>
      </c>
      <c r="C772" t="s">
        <v>588</v>
      </c>
      <c r="D772" t="s">
        <v>44</v>
      </c>
    </row>
    <row r="773" spans="1:4" x14ac:dyDescent="0.45">
      <c r="A773" t="str">
        <f>HYPERLINK("https://leetcode.com/problems/maximum-product-of-two-elements-in-an-array", "1464. Maximum Product of Two Elements in an Array")</f>
        <v>1464. Maximum Product of Two Elements in an Array</v>
      </c>
      <c r="B773" t="s">
        <v>4</v>
      </c>
      <c r="C773" t="s">
        <v>588</v>
      </c>
      <c r="D773" t="s">
        <v>44</v>
      </c>
    </row>
    <row r="774" spans="1:4" x14ac:dyDescent="0.45">
      <c r="A774" t="str">
        <f>HYPERLINK("https://leetcode.com/problems/longest-palindromic-subsequence-after-at-most-k-operations", "3472. Longest Palindromic Subsequence After at Most K Operations")</f>
        <v>3472. Longest Palindromic Subsequence After at Most K Operations</v>
      </c>
      <c r="B774" t="s">
        <v>7</v>
      </c>
      <c r="C774" t="s">
        <v>233</v>
      </c>
      <c r="D774" t="s">
        <v>44</v>
      </c>
    </row>
    <row r="775" spans="1:4" x14ac:dyDescent="0.45">
      <c r="A775" t="str">
        <f>HYPERLINK("https://leetcode.com/problems/the-maze", "490. The Maze")</f>
        <v>490. The Maze</v>
      </c>
      <c r="B775" t="s">
        <v>7</v>
      </c>
      <c r="C775" t="s">
        <v>270</v>
      </c>
      <c r="D775" t="s">
        <v>589</v>
      </c>
    </row>
    <row r="776" spans="1:4" x14ac:dyDescent="0.45">
      <c r="A776" t="str">
        <f>HYPERLINK("https://leetcode.com/problems/user-activity-for-the-past-30-days-i", "1141. User Activity for the Past 30 Days I")</f>
        <v>1141. User Activity for the Past 30 Days I</v>
      </c>
      <c r="B776" t="s">
        <v>4</v>
      </c>
      <c r="C776" t="s">
        <v>301</v>
      </c>
      <c r="D776" t="s">
        <v>44</v>
      </c>
    </row>
    <row r="777" spans="1:4" x14ac:dyDescent="0.45">
      <c r="A777" t="str">
        <f>HYPERLINK("https://leetcode.com/problems/minimum-amount-of-time-to-fill-cups", "2335. Minimum Amount of Time to Fill Cups")</f>
        <v>2335. Minimum Amount of Time to Fill Cups</v>
      </c>
      <c r="B777" t="s">
        <v>4</v>
      </c>
      <c r="C777" t="s">
        <v>181</v>
      </c>
      <c r="D777" t="s">
        <v>44</v>
      </c>
    </row>
    <row r="778" spans="1:4" x14ac:dyDescent="0.45">
      <c r="A778" t="str">
        <f>HYPERLINK("https://leetcode.com/problems/unique-paths-iii", "980. Unique Paths III")</f>
        <v>980. Unique Paths III</v>
      </c>
      <c r="B778" t="s">
        <v>12</v>
      </c>
      <c r="C778" t="s">
        <v>590</v>
      </c>
      <c r="D778" t="s">
        <v>68</v>
      </c>
    </row>
    <row r="779" spans="1:4" x14ac:dyDescent="0.45">
      <c r="A779" t="str">
        <f>HYPERLINK("https://leetcode.com/problems/max-pair-sum-in-an-array", "2815. Max Pair Sum in an Array")</f>
        <v>2815. Max Pair Sum in an Array</v>
      </c>
      <c r="B779" t="s">
        <v>4</v>
      </c>
      <c r="C779" t="s">
        <v>591</v>
      </c>
      <c r="D779" t="s">
        <v>44</v>
      </c>
    </row>
    <row r="780" spans="1:4" x14ac:dyDescent="0.45">
      <c r="A780" t="str">
        <f>HYPERLINK("https://leetcode.com/problems/minimum-recolors-to-get-k-consecutive-black-blocks", "2379. Minimum Recolors to Get K Consecutive Black Blocks")</f>
        <v>2379. Minimum Recolors to Get K Consecutive Black Blocks</v>
      </c>
      <c r="B780" t="s">
        <v>4</v>
      </c>
      <c r="C780" t="s">
        <v>592</v>
      </c>
      <c r="D780" t="s">
        <v>61</v>
      </c>
    </row>
    <row r="781" spans="1:4" x14ac:dyDescent="0.45">
      <c r="A781" t="str">
        <f>HYPERLINK("https://leetcode.com/problems/remove-letter-to-equalize-frequency", "2423. Remove Letter To Equalize Frequency")</f>
        <v>2423. Remove Letter To Equalize Frequency</v>
      </c>
      <c r="B781" t="s">
        <v>4</v>
      </c>
      <c r="C781" t="s">
        <v>593</v>
      </c>
      <c r="D781" t="s">
        <v>393</v>
      </c>
    </row>
    <row r="782" spans="1:4" x14ac:dyDescent="0.45">
      <c r="A782" t="str">
        <f>HYPERLINK("https://leetcode.com/problems/primary-department-for-each-employee", "1789. Primary Department for Each Employee")</f>
        <v>1789. Primary Department for Each Employee</v>
      </c>
      <c r="B782" t="s">
        <v>4</v>
      </c>
      <c r="C782" t="s">
        <v>500</v>
      </c>
      <c r="D782" t="s">
        <v>393</v>
      </c>
    </row>
    <row r="783" spans="1:4" x14ac:dyDescent="0.45">
      <c r="A783" t="str">
        <f>HYPERLINK("https://leetcode.com/problems/reach-end-of-array-with-max-score", "3282. Reach End of Array With Max Score")</f>
        <v>3282. Reach End of Array With Max Score</v>
      </c>
      <c r="B783" t="s">
        <v>7</v>
      </c>
      <c r="C783" t="s">
        <v>594</v>
      </c>
      <c r="D783" t="s">
        <v>44</v>
      </c>
    </row>
    <row r="784" spans="1:4" x14ac:dyDescent="0.45">
      <c r="A784" t="str">
        <f>HYPERLINK("https://leetcode.com/problems/missing-ranges", "163. Missing Ranges")</f>
        <v>163. Missing Ranges</v>
      </c>
      <c r="B784" t="s">
        <v>4</v>
      </c>
      <c r="C784" t="s">
        <v>595</v>
      </c>
      <c r="D784" t="s">
        <v>34</v>
      </c>
    </row>
    <row r="785" spans="1:4" x14ac:dyDescent="0.45">
      <c r="A785" t="str">
        <f>HYPERLINK("https://leetcode.com/problems/battleships-in-a-board", "419. Battleships in a Board")</f>
        <v>419. Battleships in a Board</v>
      </c>
      <c r="B785" t="s">
        <v>7</v>
      </c>
      <c r="C785" t="s">
        <v>255</v>
      </c>
      <c r="D785" t="s">
        <v>68</v>
      </c>
    </row>
    <row r="786" spans="1:4" x14ac:dyDescent="0.45">
      <c r="A786" t="str">
        <f>HYPERLINK("https://leetcode.com/problems/long-pressed-name", "925. Long Pressed Name")</f>
        <v>925. Long Pressed Name</v>
      </c>
      <c r="B786" t="s">
        <v>4</v>
      </c>
      <c r="C786" t="s">
        <v>596</v>
      </c>
      <c r="D786" t="s">
        <v>350</v>
      </c>
    </row>
    <row r="787" spans="1:4" x14ac:dyDescent="0.45">
      <c r="A787" t="str">
        <f>HYPERLINK("https://leetcode.com/problems/find-the-shortest-superstring", "943. Find the Shortest Superstring")</f>
        <v>943. Find the Shortest Superstring</v>
      </c>
      <c r="B787" t="s">
        <v>12</v>
      </c>
      <c r="C787" t="s">
        <v>283</v>
      </c>
      <c r="D787" t="s">
        <v>44</v>
      </c>
    </row>
    <row r="788" spans="1:4" x14ac:dyDescent="0.45">
      <c r="A788" t="str">
        <f>HYPERLINK("https://leetcode.com/problems/sum-of-unique-elements", "1748. Sum of Unique Elements")</f>
        <v>1748. Sum of Unique Elements</v>
      </c>
      <c r="B788" t="s">
        <v>4</v>
      </c>
      <c r="C788" t="s">
        <v>51</v>
      </c>
      <c r="D788" t="s">
        <v>34</v>
      </c>
    </row>
    <row r="789" spans="1:4" x14ac:dyDescent="0.45">
      <c r="A789" t="str">
        <f>HYPERLINK("https://leetcode.com/problems/number-of-visible-people-in-a-queue", "1944. Number of Visible People in a Queue")</f>
        <v>1944. Number of Visible People in a Queue</v>
      </c>
      <c r="B789" t="s">
        <v>12</v>
      </c>
      <c r="C789" t="s">
        <v>597</v>
      </c>
      <c r="D789" t="s">
        <v>87</v>
      </c>
    </row>
    <row r="790" spans="1:4" x14ac:dyDescent="0.45">
      <c r="A790" t="str">
        <f>HYPERLINK("https://leetcode.com/problems/swim-in-rising-water", "778. Swim in Rising Water")</f>
        <v>778. Swim in Rising Water</v>
      </c>
      <c r="B790" t="s">
        <v>12</v>
      </c>
      <c r="C790" t="s">
        <v>129</v>
      </c>
      <c r="D790" t="s">
        <v>34</v>
      </c>
    </row>
    <row r="791" spans="1:4" x14ac:dyDescent="0.45">
      <c r="A791" t="str">
        <f>HYPERLINK("https://leetcode.com/problems/maximum-value-at-a-given-index-in-a-bounded-array", "1802. Maximum Value at a Given Index in a Bounded Array")</f>
        <v>1802. Maximum Value at a Given Index in a Bounded Array</v>
      </c>
      <c r="B791" t="s">
        <v>7</v>
      </c>
      <c r="C791" t="s">
        <v>598</v>
      </c>
      <c r="D791" t="s">
        <v>44</v>
      </c>
    </row>
    <row r="792" spans="1:4" x14ac:dyDescent="0.45">
      <c r="A792" t="str">
        <f>HYPERLINK("https://leetcode.com/problems/minimum-insertions-to-balance-a-parentheses-string", "1541. Minimum Insertions to Balance a Parentheses String")</f>
        <v>1541. Minimum Insertions to Balance a Parentheses String</v>
      </c>
      <c r="B792" t="s">
        <v>7</v>
      </c>
      <c r="C792" t="s">
        <v>244</v>
      </c>
      <c r="D792" t="s">
        <v>34</v>
      </c>
    </row>
    <row r="793" spans="1:4" x14ac:dyDescent="0.45">
      <c r="A793" t="str">
        <f>HYPERLINK("https://leetcode.com/problems/find-smallest-letter-greater-than-target", "744. Find Smallest Letter Greater Than Target")</f>
        <v>744. Find Smallest Letter Greater Than Target</v>
      </c>
      <c r="B793" t="s">
        <v>4</v>
      </c>
      <c r="C793" t="s">
        <v>599</v>
      </c>
      <c r="D793" t="s">
        <v>350</v>
      </c>
    </row>
    <row r="794" spans="1:4" x14ac:dyDescent="0.45">
      <c r="A794" t="str">
        <f>HYPERLINK("https://leetcode.com/problems/nested-list-weight-sum", "339. Nested List Weight Sum")</f>
        <v>339. Nested List Weight Sum</v>
      </c>
      <c r="B794" t="s">
        <v>7</v>
      </c>
      <c r="C794" t="s">
        <v>600</v>
      </c>
      <c r="D794" t="s">
        <v>87</v>
      </c>
    </row>
    <row r="795" spans="1:4" x14ac:dyDescent="0.45">
      <c r="A795" t="str">
        <f>HYPERLINK("https://leetcode.com/problems/count-vowel-strings-in-ranges", "2559. Count Vowel Strings in Ranges")</f>
        <v>2559. Count Vowel Strings in Ranges</v>
      </c>
      <c r="B795" t="s">
        <v>7</v>
      </c>
      <c r="C795" t="s">
        <v>387</v>
      </c>
      <c r="D795" t="s">
        <v>256</v>
      </c>
    </row>
    <row r="796" spans="1:4" x14ac:dyDescent="0.45">
      <c r="A796" t="str">
        <f>HYPERLINK("https://leetcode.com/problems/amount-of-time-for-binary-tree-to-be-infected", "2385. Amount of Time for Binary Tree to Be Infected")</f>
        <v>2385. Amount of Time for Binary Tree to Be Infected</v>
      </c>
      <c r="B796" t="s">
        <v>7</v>
      </c>
      <c r="C796" t="s">
        <v>601</v>
      </c>
      <c r="D796" t="s">
        <v>128</v>
      </c>
    </row>
    <row r="797" spans="1:4" x14ac:dyDescent="0.45">
      <c r="A797" t="str">
        <f>HYPERLINK("https://leetcode.com/problems/rank-teams-by-votes", "1366. Rank Teams by Votes")</f>
        <v>1366. Rank Teams by Votes</v>
      </c>
      <c r="B797" t="s">
        <v>7</v>
      </c>
      <c r="C797" t="s">
        <v>270</v>
      </c>
      <c r="D797" t="s">
        <v>602</v>
      </c>
    </row>
    <row r="798" spans="1:4" x14ac:dyDescent="0.45">
      <c r="A798" t="str">
        <f>HYPERLINK("https://leetcode.com/problems/number-of-enclaves", "1020. Number of Enclaves")</f>
        <v>1020. Number of Enclaves</v>
      </c>
      <c r="B798" t="s">
        <v>7</v>
      </c>
      <c r="C798" t="s">
        <v>459</v>
      </c>
      <c r="D798" t="s">
        <v>44</v>
      </c>
    </row>
    <row r="799" spans="1:4" x14ac:dyDescent="0.45">
      <c r="A799" t="str">
        <f>HYPERLINK("https://leetcode.com/problems/employee-free-time", "759. Employee Free Time")</f>
        <v>759. Employee Free Time</v>
      </c>
      <c r="B799" t="s">
        <v>12</v>
      </c>
      <c r="C799" t="s">
        <v>435</v>
      </c>
      <c r="D799" t="s">
        <v>603</v>
      </c>
    </row>
    <row r="800" spans="1:4" x14ac:dyDescent="0.45">
      <c r="A800" t="str">
        <f>HYPERLINK("https://leetcode.com/problems/determine-if-string-halves-are-alike", "1704. Determine if String Halves Are Alike")</f>
        <v>1704. Determine if String Halves Are Alike</v>
      </c>
      <c r="B800" t="s">
        <v>4</v>
      </c>
      <c r="C800" t="s">
        <v>310</v>
      </c>
      <c r="D800" t="s">
        <v>44</v>
      </c>
    </row>
    <row r="801" spans="1:4" x14ac:dyDescent="0.45">
      <c r="A801" t="str">
        <f>HYPERLINK("https://leetcode.com/problems/minimum-time-to-repair-cars", "2594. Minimum Time to Repair Cars")</f>
        <v>2594. Minimum Time to Repair Cars</v>
      </c>
      <c r="B801" t="s">
        <v>7</v>
      </c>
      <c r="C801" t="s">
        <v>280</v>
      </c>
      <c r="D801" t="s">
        <v>91</v>
      </c>
    </row>
    <row r="802" spans="1:4" x14ac:dyDescent="0.45">
      <c r="A802" t="str">
        <f>HYPERLINK("https://leetcode.com/problems/divide-array-into-equal-pairs", "2206. Divide Array Into Equal Pairs")</f>
        <v>2206. Divide Array Into Equal Pairs</v>
      </c>
      <c r="B802" t="s">
        <v>4</v>
      </c>
      <c r="C802" t="s">
        <v>584</v>
      </c>
      <c r="D802" t="s">
        <v>128</v>
      </c>
    </row>
    <row r="803" spans="1:4" x14ac:dyDescent="0.45">
      <c r="A803" t="str">
        <f>HYPERLINK("https://leetcode.com/problems/minimum-cost-to-cut-a-stick", "1547. Minimum Cost to Cut a Stick")</f>
        <v>1547. Minimum Cost to Cut a Stick</v>
      </c>
      <c r="B803" t="s">
        <v>12</v>
      </c>
      <c r="C803" t="s">
        <v>105</v>
      </c>
      <c r="D803" t="s">
        <v>61</v>
      </c>
    </row>
    <row r="804" spans="1:4" x14ac:dyDescent="0.45">
      <c r="A804" t="str">
        <f>HYPERLINK("https://leetcode.com/problems/minimum-additions-to-make-valid-string", "2645. Minimum Additions to Make Valid String")</f>
        <v>2645. Minimum Additions to Make Valid String</v>
      </c>
      <c r="B804" t="s">
        <v>7</v>
      </c>
      <c r="C804" t="s">
        <v>604</v>
      </c>
      <c r="D804" t="s">
        <v>44</v>
      </c>
    </row>
    <row r="805" spans="1:4" x14ac:dyDescent="0.45">
      <c r="A805" t="str">
        <f>HYPERLINK("https://leetcode.com/problems/nth-highest-salary", "177. Nth Highest Salary")</f>
        <v>177. Nth Highest Salary</v>
      </c>
      <c r="B805" t="s">
        <v>7</v>
      </c>
      <c r="C805" t="s">
        <v>289</v>
      </c>
      <c r="D805" t="s">
        <v>605</v>
      </c>
    </row>
    <row r="806" spans="1:4" x14ac:dyDescent="0.45">
      <c r="A806" t="str">
        <f>HYPERLINK("https://leetcode.com/problems/apply-substitutions", "3481. Apply Substitutions")</f>
        <v>3481. Apply Substitutions</v>
      </c>
      <c r="B806" t="s">
        <v>7</v>
      </c>
      <c r="C806" t="s">
        <v>24</v>
      </c>
      <c r="D806" t="s">
        <v>44</v>
      </c>
    </row>
    <row r="807" spans="1:4" x14ac:dyDescent="0.45">
      <c r="A807" t="str">
        <f>HYPERLINK("https://leetcode.com/problems/hash-divided-string", "3271. Hash Divided String")</f>
        <v>3271. Hash Divided String</v>
      </c>
      <c r="B807" t="s">
        <v>7</v>
      </c>
      <c r="C807" t="s">
        <v>606</v>
      </c>
      <c r="D807" t="s">
        <v>44</v>
      </c>
    </row>
    <row r="808" spans="1:4" x14ac:dyDescent="0.45">
      <c r="A808" t="str">
        <f>HYPERLINK("https://leetcode.com/problems/count-univalue-subtrees", "250. Count Univalue Subtrees")</f>
        <v>250. Count Univalue Subtrees</v>
      </c>
      <c r="B808" t="s">
        <v>7</v>
      </c>
      <c r="C808" t="s">
        <v>77</v>
      </c>
      <c r="D808" t="s">
        <v>61</v>
      </c>
    </row>
    <row r="809" spans="1:4" x14ac:dyDescent="0.45">
      <c r="A809" t="str">
        <f>HYPERLINK("https://leetcode.com/problems/perfect-number", "507. Perfect Number")</f>
        <v>507. Perfect Number</v>
      </c>
      <c r="B809" t="s">
        <v>4</v>
      </c>
      <c r="C809" t="s">
        <v>607</v>
      </c>
      <c r="D809" t="s">
        <v>34</v>
      </c>
    </row>
    <row r="810" spans="1:4" x14ac:dyDescent="0.45">
      <c r="A810" t="str">
        <f>HYPERLINK("https://leetcode.com/problems/longest-arithmetic-subsequence", "1027. Longest Arithmetic Subsequence")</f>
        <v>1027. Longest Arithmetic Subsequence</v>
      </c>
      <c r="B810" t="s">
        <v>7</v>
      </c>
      <c r="C810" t="s">
        <v>301</v>
      </c>
      <c r="D810" t="s">
        <v>91</v>
      </c>
    </row>
    <row r="811" spans="1:4" x14ac:dyDescent="0.45">
      <c r="A811" t="str">
        <f>HYPERLINK("https://leetcode.com/problems/longest-nice-subarray", "2401. Longest Nice Subarray")</f>
        <v>2401. Longest Nice Subarray</v>
      </c>
      <c r="B811" t="s">
        <v>7</v>
      </c>
      <c r="C811" t="s">
        <v>608</v>
      </c>
      <c r="D811" t="s">
        <v>11</v>
      </c>
    </row>
    <row r="812" spans="1:4" x14ac:dyDescent="0.45">
      <c r="A812" t="str">
        <f>HYPERLINK("https://leetcode.com/problems/build-a-matrix-with-conditions", "2392. Build a Matrix With Conditions")</f>
        <v>2392. Build a Matrix With Conditions</v>
      </c>
      <c r="B812" t="s">
        <v>12</v>
      </c>
      <c r="C812" t="s">
        <v>476</v>
      </c>
      <c r="D812" t="s">
        <v>44</v>
      </c>
    </row>
    <row r="813" spans="1:4" x14ac:dyDescent="0.45">
      <c r="A813" t="str">
        <f>HYPERLINK("https://leetcode.com/problems/smallest-substring-with-identical-characters-i", "3398. Smallest Substring With Identical Characters I")</f>
        <v>3398. Smallest Substring With Identical Characters I</v>
      </c>
      <c r="B813" t="s">
        <v>12</v>
      </c>
      <c r="C813" t="s">
        <v>111</v>
      </c>
      <c r="D813" t="s">
        <v>551</v>
      </c>
    </row>
    <row r="814" spans="1:4" x14ac:dyDescent="0.45">
      <c r="A814" t="str">
        <f>HYPERLINK("https://leetcode.com/problems/replace-elements-with-greatest-element-on-right-side", "1299. Replace Elements with Greatest Element on Right Side")</f>
        <v>1299. Replace Elements with Greatest Element on Right Side</v>
      </c>
      <c r="B814" t="s">
        <v>4</v>
      </c>
      <c r="C814" t="s">
        <v>509</v>
      </c>
      <c r="D814" t="s">
        <v>44</v>
      </c>
    </row>
    <row r="815" spans="1:4" x14ac:dyDescent="0.45">
      <c r="A815" t="str">
        <f>HYPERLINK("https://leetcode.com/problems/longest-harmonious-subsequence", "594. Longest Harmonious Subsequence")</f>
        <v>594. Longest Harmonious Subsequence</v>
      </c>
      <c r="B815" t="s">
        <v>4</v>
      </c>
      <c r="C815" t="s">
        <v>263</v>
      </c>
      <c r="D815" t="s">
        <v>44</v>
      </c>
    </row>
    <row r="816" spans="1:4" x14ac:dyDescent="0.45">
      <c r="A816" t="str">
        <f>HYPERLINK("https://leetcode.com/problems/minimum-operations-to-make-binary-array-elements-equal-to-one-i", "3191. Minimum Operations to Make Binary Array Elements Equal to One I")</f>
        <v>3191. Minimum Operations to Make Binary Array Elements Equal to One I</v>
      </c>
      <c r="B816" t="s">
        <v>7</v>
      </c>
      <c r="C816" t="s">
        <v>177</v>
      </c>
      <c r="D816" t="s">
        <v>61</v>
      </c>
    </row>
    <row r="817" spans="1:4" x14ac:dyDescent="0.45">
      <c r="A817" t="str">
        <f>HYPERLINK("https://leetcode.com/problems/create-maximum-number", "321. Create Maximum Number")</f>
        <v>321. Create Maximum Number</v>
      </c>
      <c r="B817" t="s">
        <v>12</v>
      </c>
      <c r="C817" t="s">
        <v>609</v>
      </c>
      <c r="D817" t="s">
        <v>44</v>
      </c>
    </row>
    <row r="818" spans="1:4" x14ac:dyDescent="0.45">
      <c r="A818" t="str">
        <f>HYPERLINK("https://leetcode.com/problems/strictly-palindromic-number", "2396. Strictly Palindromic Number")</f>
        <v>2396. Strictly Palindromic Number</v>
      </c>
      <c r="B818" t="s">
        <v>7</v>
      </c>
      <c r="C818" t="s">
        <v>529</v>
      </c>
      <c r="D818" t="s">
        <v>44</v>
      </c>
    </row>
    <row r="819" spans="1:4" x14ac:dyDescent="0.45">
      <c r="A819" t="str">
        <f>HYPERLINK("https://leetcode.com/problems/minimum-cost-walk-in-weighted-graph", "3108. Minimum Cost Walk in Weighted Graph")</f>
        <v>3108. Minimum Cost Walk in Weighted Graph</v>
      </c>
      <c r="B819" t="s">
        <v>12</v>
      </c>
      <c r="C819" t="s">
        <v>610</v>
      </c>
      <c r="D819" t="s">
        <v>54</v>
      </c>
    </row>
    <row r="820" spans="1:4" x14ac:dyDescent="0.45">
      <c r="A820" t="str">
        <f>HYPERLINK("https://leetcode.com/problems/power-of-four", "342. Power of Four")</f>
        <v>342. Power of Four</v>
      </c>
      <c r="B820" t="s">
        <v>4</v>
      </c>
      <c r="C820" t="s">
        <v>103</v>
      </c>
      <c r="D820" t="s">
        <v>34</v>
      </c>
    </row>
    <row r="821" spans="1:4" x14ac:dyDescent="0.45">
      <c r="A821" t="str">
        <f>HYPERLINK("https://leetcode.com/problems/teemo-attacking", "495. Teemo Attacking")</f>
        <v>495. Teemo Attacking</v>
      </c>
      <c r="B821" t="s">
        <v>4</v>
      </c>
      <c r="C821" t="s">
        <v>89</v>
      </c>
      <c r="D821" t="s">
        <v>44</v>
      </c>
    </row>
    <row r="822" spans="1:4" x14ac:dyDescent="0.45">
      <c r="A822" t="str">
        <f>HYPERLINK("https://leetcode.com/problems/merge-in-between-linked-lists", "1669. Merge In Between Linked Lists")</f>
        <v>1669. Merge In Between Linked Lists</v>
      </c>
      <c r="B822" t="s">
        <v>7</v>
      </c>
      <c r="C822" t="s">
        <v>475</v>
      </c>
      <c r="D822" t="s">
        <v>44</v>
      </c>
    </row>
    <row r="823" spans="1:4" x14ac:dyDescent="0.45">
      <c r="A823" t="str">
        <f>HYPERLINK("https://leetcode.com/problems/count-the-number-of-complete-components", "2685. Count the Number of Complete Components")</f>
        <v>2685. Count the Number of Complete Components</v>
      </c>
      <c r="B823" t="s">
        <v>7</v>
      </c>
      <c r="C823" t="s">
        <v>611</v>
      </c>
      <c r="D823" t="s">
        <v>91</v>
      </c>
    </row>
    <row r="824" spans="1:4" x14ac:dyDescent="0.45">
      <c r="A824" t="str">
        <f>HYPERLINK("https://leetcode.com/problems/champagne-tower", "799. Champagne Tower")</f>
        <v>799. Champagne Tower</v>
      </c>
      <c r="B824" t="s">
        <v>7</v>
      </c>
      <c r="C824" t="s">
        <v>493</v>
      </c>
      <c r="D824" t="s">
        <v>44</v>
      </c>
    </row>
    <row r="825" spans="1:4" x14ac:dyDescent="0.45">
      <c r="A825" t="str">
        <f>HYPERLINK("https://leetcode.com/problems/a-number-after-a-double-reversal", "2119. A Number After a Double Reversal")</f>
        <v>2119. A Number After a Double Reversal</v>
      </c>
      <c r="B825" t="s">
        <v>4</v>
      </c>
      <c r="C825" t="s">
        <v>404</v>
      </c>
      <c r="D825" t="s">
        <v>44</v>
      </c>
    </row>
    <row r="826" spans="1:4" x14ac:dyDescent="0.45">
      <c r="A826" t="str">
        <f>HYPERLINK("https://leetcode.com/problems/remove-comments", "722. Remove Comments")</f>
        <v>722. Remove Comments</v>
      </c>
      <c r="B826" t="s">
        <v>7</v>
      </c>
      <c r="C826" t="s">
        <v>561</v>
      </c>
      <c r="D826" t="s">
        <v>79</v>
      </c>
    </row>
    <row r="827" spans="1:4" x14ac:dyDescent="0.45">
      <c r="A827" t="str">
        <f>HYPERLINK("https://leetcode.com/problems/cherry-pickup", "741. Cherry Pickup")</f>
        <v>741. Cherry Pickup</v>
      </c>
      <c r="B827" t="s">
        <v>12</v>
      </c>
      <c r="C827" t="s">
        <v>612</v>
      </c>
      <c r="D827" t="s">
        <v>44</v>
      </c>
    </row>
    <row r="828" spans="1:4" x14ac:dyDescent="0.45">
      <c r="A828" t="str">
        <f>HYPERLINK("https://leetcode.com/problems/count-days-without-meetings", "3169. Count Days Without Meetings")</f>
        <v>3169. Count Days Without Meetings</v>
      </c>
      <c r="B828" t="s">
        <v>7</v>
      </c>
      <c r="C828" t="s">
        <v>344</v>
      </c>
      <c r="D828" t="s">
        <v>214</v>
      </c>
    </row>
    <row r="829" spans="1:4" x14ac:dyDescent="0.45">
      <c r="A829" t="str">
        <f>HYPERLINK("https://leetcode.com/problems/find-the-difference-of-two-arrays", "2215. Find the Difference of Two Arrays")</f>
        <v>2215. Find the Difference of Two Arrays</v>
      </c>
      <c r="B829" t="s">
        <v>4</v>
      </c>
      <c r="C829" t="s">
        <v>613</v>
      </c>
      <c r="D829" t="s">
        <v>68</v>
      </c>
    </row>
    <row r="830" spans="1:4" x14ac:dyDescent="0.45">
      <c r="A830" t="str">
        <f>HYPERLINK("https://leetcode.com/problems/find-the-minimum-amount-of-time-to-brew-potions", "3494. Find the Minimum Amount of Time to Brew Potions")</f>
        <v>3494. Find the Minimum Amount of Time to Brew Potions</v>
      </c>
      <c r="B830" t="s">
        <v>7</v>
      </c>
      <c r="C830" t="s">
        <v>614</v>
      </c>
      <c r="D830" t="s">
        <v>545</v>
      </c>
    </row>
    <row r="831" spans="1:4" x14ac:dyDescent="0.45">
      <c r="A831" t="str">
        <f>HYPERLINK("https://leetcode.com/problems/baseball-game", "682. Baseball Game")</f>
        <v>682. Baseball Game</v>
      </c>
      <c r="B831" t="s">
        <v>4</v>
      </c>
      <c r="C831" t="s">
        <v>480</v>
      </c>
      <c r="D831" t="s">
        <v>54</v>
      </c>
    </row>
    <row r="832" spans="1:4" x14ac:dyDescent="0.45">
      <c r="A832" t="str">
        <f>HYPERLINK("https://leetcode.com/problems/repeated-dna-sequences", "187. Repeated DNA Sequences")</f>
        <v>187. Repeated DNA Sequences</v>
      </c>
      <c r="B832" t="s">
        <v>7</v>
      </c>
      <c r="C832" t="s">
        <v>209</v>
      </c>
      <c r="D832" t="s">
        <v>99</v>
      </c>
    </row>
    <row r="833" spans="1:4" x14ac:dyDescent="0.45">
      <c r="A833" t="str">
        <f>HYPERLINK("https://leetcode.com/problems/product-sales-analysis-iii", "1070. Product Sales Analysis III")</f>
        <v>1070. Product Sales Analysis III</v>
      </c>
      <c r="B833" t="s">
        <v>7</v>
      </c>
      <c r="C833" t="s">
        <v>283</v>
      </c>
      <c r="D833" t="s">
        <v>20</v>
      </c>
    </row>
    <row r="834" spans="1:4" x14ac:dyDescent="0.45">
      <c r="A834" t="str">
        <f>HYPERLINK("https://leetcode.com/problems/counter-ii", "2665. Counter II")</f>
        <v>2665. Counter II</v>
      </c>
      <c r="B834" t="s">
        <v>4</v>
      </c>
      <c r="C834" t="s">
        <v>404</v>
      </c>
      <c r="D834" t="s">
        <v>61</v>
      </c>
    </row>
    <row r="835" spans="1:4" x14ac:dyDescent="0.45">
      <c r="A835" t="str">
        <f>HYPERLINK("https://leetcode.com/problems/split-with-minimum-sum", "2578. Split With Minimum Sum")</f>
        <v>2578. Split With Minimum Sum</v>
      </c>
      <c r="B835" t="s">
        <v>4</v>
      </c>
      <c r="C835" t="s">
        <v>615</v>
      </c>
      <c r="D835" t="s">
        <v>44</v>
      </c>
    </row>
    <row r="836" spans="1:4" x14ac:dyDescent="0.45">
      <c r="A836" t="str">
        <f>HYPERLINK("https://leetcode.com/problems/flip-equivalent-binary-trees", "951. Flip Equivalent Binary Trees")</f>
        <v>951. Flip Equivalent Binary Trees</v>
      </c>
      <c r="B836" t="s">
        <v>7</v>
      </c>
      <c r="C836" t="s">
        <v>444</v>
      </c>
      <c r="D836" t="s">
        <v>44</v>
      </c>
    </row>
    <row r="837" spans="1:4" x14ac:dyDescent="0.45">
      <c r="A837" t="str">
        <f>HYPERLINK("https://leetcode.com/problems/special-binary-string", "761. Special Binary String")</f>
        <v>761. Special Binary String</v>
      </c>
      <c r="B837" t="s">
        <v>12</v>
      </c>
      <c r="C837" t="s">
        <v>569</v>
      </c>
      <c r="D837" t="s">
        <v>61</v>
      </c>
    </row>
    <row r="838" spans="1:4" x14ac:dyDescent="0.45">
      <c r="A838" t="str">
        <f>HYPERLINK("https://leetcode.com/problems/minimum-operations-to-make-a-uni-value-grid", "2033. Minimum Operations to Make a Uni-Value Grid")</f>
        <v>2033. Minimum Operations to Make a Uni-Value Grid</v>
      </c>
      <c r="B838" t="s">
        <v>7</v>
      </c>
      <c r="C838" t="s">
        <v>316</v>
      </c>
      <c r="D838" t="s">
        <v>214</v>
      </c>
    </row>
    <row r="839" spans="1:4" x14ac:dyDescent="0.45">
      <c r="A839" t="str">
        <f>HYPERLINK("https://leetcode.com/problems/jump-game-vii", "1871. Jump Game VII")</f>
        <v>1871. Jump Game VII</v>
      </c>
      <c r="B839" t="s">
        <v>7</v>
      </c>
      <c r="C839" t="s">
        <v>266</v>
      </c>
      <c r="D839" t="s">
        <v>44</v>
      </c>
    </row>
    <row r="840" spans="1:4" x14ac:dyDescent="0.45">
      <c r="A840" t="str">
        <f>HYPERLINK("https://leetcode.com/problems/count-pairs-that-form-a-complete-day-ii", "3185. Count Pairs That Form a Complete Day II")</f>
        <v>3185. Count Pairs That Form a Complete Day II</v>
      </c>
      <c r="B840" t="s">
        <v>7</v>
      </c>
      <c r="C840" t="s">
        <v>414</v>
      </c>
      <c r="D840" t="s">
        <v>44</v>
      </c>
    </row>
    <row r="841" spans="1:4" x14ac:dyDescent="0.45">
      <c r="A841" t="str">
        <f>HYPERLINK("https://leetcode.com/problems/guess-number-higher-or-lower", "374. Guess Number Higher or Lower")</f>
        <v>374. Guess Number Higher or Lower</v>
      </c>
      <c r="B841" t="s">
        <v>4</v>
      </c>
      <c r="C841" t="s">
        <v>5</v>
      </c>
      <c r="D841" t="s">
        <v>303</v>
      </c>
    </row>
    <row r="842" spans="1:4" x14ac:dyDescent="0.45">
      <c r="A842" t="str">
        <f>HYPERLINK("https://leetcode.com/problems/movement-of-robots", "2731. Movement of Robots")</f>
        <v>2731. Movement of Robots</v>
      </c>
      <c r="B842" t="s">
        <v>7</v>
      </c>
      <c r="C842" t="s">
        <v>616</v>
      </c>
      <c r="D842" t="s">
        <v>44</v>
      </c>
    </row>
    <row r="843" spans="1:4" x14ac:dyDescent="0.45">
      <c r="A843" t="str">
        <f>HYPERLINK("https://leetcode.com/problems/minimum-index-of-a-valid-split", "2780. Minimum Index of a Valid Split")</f>
        <v>2780. Minimum Index of a Valid Split</v>
      </c>
      <c r="B843" t="s">
        <v>7</v>
      </c>
      <c r="C843" t="s">
        <v>424</v>
      </c>
      <c r="D843" t="s">
        <v>61</v>
      </c>
    </row>
    <row r="844" spans="1:4" x14ac:dyDescent="0.45">
      <c r="A844" t="str">
        <f>HYPERLINK("https://leetcode.com/problems/calculate-special-bonus", "1873. Calculate Special Bonus")</f>
        <v>1873. Calculate Special Bonus</v>
      </c>
      <c r="B844" t="s">
        <v>4</v>
      </c>
      <c r="C844" t="s">
        <v>15</v>
      </c>
      <c r="D844" t="s">
        <v>44</v>
      </c>
    </row>
    <row r="845" spans="1:4" x14ac:dyDescent="0.45">
      <c r="A845" t="str">
        <f>HYPERLINK("https://leetcode.com/problems/shortest-bridge", "934. Shortest Bridge")</f>
        <v>934. Shortest Bridge</v>
      </c>
      <c r="B845" t="s">
        <v>7</v>
      </c>
      <c r="C845" t="s">
        <v>172</v>
      </c>
      <c r="D845" t="s">
        <v>102</v>
      </c>
    </row>
    <row r="846" spans="1:4" x14ac:dyDescent="0.45">
      <c r="A846" t="str">
        <f>HYPERLINK("https://leetcode.com/problems/sum-of-mutated-array-closest-to-target", "1300. Sum of Mutated Array Closest to Target")</f>
        <v>1300. Sum of Mutated Array Closest to Target</v>
      </c>
      <c r="B846" t="s">
        <v>7</v>
      </c>
      <c r="C846" t="s">
        <v>279</v>
      </c>
      <c r="D846" t="s">
        <v>44</v>
      </c>
    </row>
    <row r="847" spans="1:4" x14ac:dyDescent="0.45">
      <c r="A847" t="str">
        <f>HYPERLINK("https://leetcode.com/problems/find-the-occurrence-of-first-almost-equal-substring", "3303. Find the Occurrence of First Almost Equal Substring")</f>
        <v>3303. Find the Occurrence of First Almost Equal Substring</v>
      </c>
      <c r="B847" t="s">
        <v>12</v>
      </c>
      <c r="C847" t="s">
        <v>617</v>
      </c>
      <c r="D847" t="s">
        <v>44</v>
      </c>
    </row>
    <row r="848" spans="1:4" x14ac:dyDescent="0.45">
      <c r="A848" t="str">
        <f>HYPERLINK("https://leetcode.com/problems/maximum-number-of-points-from-grid-queries", "2503. Maximum Number of Points From Grid Queries")</f>
        <v>2503. Maximum Number of Points From Grid Queries</v>
      </c>
      <c r="B848" t="s">
        <v>12</v>
      </c>
      <c r="C848" t="s">
        <v>354</v>
      </c>
      <c r="D848" t="s">
        <v>34</v>
      </c>
    </row>
    <row r="849" spans="1:4" x14ac:dyDescent="0.45">
      <c r="A849" t="str">
        <f>HYPERLINK("https://leetcode.com/problems/find-the-minimum-cost-array-permutation", "3149. Find the Minimum Cost Array Permutation")</f>
        <v>3149. Find the Minimum Cost Array Permutation</v>
      </c>
      <c r="B849" t="s">
        <v>12</v>
      </c>
      <c r="C849" t="s">
        <v>618</v>
      </c>
      <c r="D849" t="s">
        <v>44</v>
      </c>
    </row>
    <row r="850" spans="1:4" x14ac:dyDescent="0.45">
      <c r="A850" t="str">
        <f>HYPERLINK("https://leetcode.com/problems/last-person-to-fit-in-the-bus", "1204. Last Person to Fit in the Bus")</f>
        <v>1204. Last Person to Fit in the Bus</v>
      </c>
      <c r="B850" t="s">
        <v>7</v>
      </c>
      <c r="C850" t="s">
        <v>381</v>
      </c>
      <c r="D850" t="s">
        <v>393</v>
      </c>
    </row>
    <row r="851" spans="1:4" x14ac:dyDescent="0.45">
      <c r="A851" t="str">
        <f>HYPERLINK("https://leetcode.com/problems/numbers-with-same-consecutive-differences", "967. Numbers With Same Consecutive Differences")</f>
        <v>967. Numbers With Same Consecutive Differences</v>
      </c>
      <c r="B851" t="s">
        <v>7</v>
      </c>
      <c r="C851" t="s">
        <v>181</v>
      </c>
      <c r="D851" t="s">
        <v>44</v>
      </c>
    </row>
    <row r="852" spans="1:4" x14ac:dyDescent="0.45">
      <c r="A852" t="str">
        <f>HYPERLINK("https://leetcode.com/problems/minimum-time-visiting-all-points", "1266. Minimum Time Visiting All Points")</f>
        <v>1266. Minimum Time Visiting All Points</v>
      </c>
      <c r="B852" t="s">
        <v>4</v>
      </c>
      <c r="C852" t="s">
        <v>619</v>
      </c>
      <c r="D852" t="s">
        <v>34</v>
      </c>
    </row>
    <row r="853" spans="1:4" x14ac:dyDescent="0.45">
      <c r="A853" t="str">
        <f>HYPERLINK("https://leetcode.com/problems/apply-operations-to-maximize-score", "2818. Apply Operations to Maximize Score")</f>
        <v>2818. Apply Operations to Maximize Score</v>
      </c>
      <c r="B853" t="s">
        <v>12</v>
      </c>
      <c r="C853" t="s">
        <v>207</v>
      </c>
      <c r="D853" t="s">
        <v>44</v>
      </c>
    </row>
    <row r="854" spans="1:4" x14ac:dyDescent="0.45">
      <c r="A854" t="str">
        <f>HYPERLINK("https://leetcode.com/problems/possible-bipartition", "886. Possible Bipartition")</f>
        <v>886. Possible Bipartition</v>
      </c>
      <c r="B854" t="s">
        <v>7</v>
      </c>
      <c r="C854" t="s">
        <v>362</v>
      </c>
      <c r="D854" t="s">
        <v>87</v>
      </c>
    </row>
    <row r="855" spans="1:4" x14ac:dyDescent="0.45">
      <c r="A855" t="str">
        <f>HYPERLINK("https://leetcode.com/problems/partition-labels", "763. Partition Labels")</f>
        <v>763. Partition Labels</v>
      </c>
      <c r="B855" t="s">
        <v>7</v>
      </c>
      <c r="C855" t="s">
        <v>620</v>
      </c>
      <c r="D855" t="s">
        <v>99</v>
      </c>
    </row>
    <row r="856" spans="1:4" x14ac:dyDescent="0.45">
      <c r="A856" t="str">
        <f>HYPERLINK("https://leetcode.com/problems/minimum-number-of-flips-to-make-binary-grid-palindromic-ii", "3240. Minimum Number of Flips to Make Binary Grid Palindromic II")</f>
        <v>3240. Minimum Number of Flips to Make Binary Grid Palindromic II</v>
      </c>
      <c r="B856" t="s">
        <v>7</v>
      </c>
      <c r="C856" t="s">
        <v>621</v>
      </c>
      <c r="D856" t="s">
        <v>44</v>
      </c>
    </row>
    <row r="857" spans="1:4" x14ac:dyDescent="0.45">
      <c r="A857" t="str">
        <f>HYPERLINK("https://leetcode.com/problems/divide-array-in-sets-of-k-consecutive-numbers", "1296. Divide Array in Sets of K Consecutive Numbers")</f>
        <v>1296. Divide Array in Sets of K Consecutive Numbers</v>
      </c>
      <c r="B857" t="s">
        <v>7</v>
      </c>
      <c r="C857" t="s">
        <v>181</v>
      </c>
      <c r="D857" t="s">
        <v>44</v>
      </c>
    </row>
    <row r="858" spans="1:4" x14ac:dyDescent="0.45">
      <c r="A858" t="str">
        <f>HYPERLINK("https://leetcode.com/problems/insert-into-a-sorted-circular-linked-list", "708. Insert into a Sorted Circular Linked List")</f>
        <v>708. Insert into a Sorted Circular Linked List</v>
      </c>
      <c r="B858" t="s">
        <v>7</v>
      </c>
      <c r="C858" t="s">
        <v>289</v>
      </c>
      <c r="D858" t="s">
        <v>34</v>
      </c>
    </row>
    <row r="859" spans="1:4" x14ac:dyDescent="0.45">
      <c r="A859" t="str">
        <f>HYPERLINK("https://leetcode.com/problems/keyboard-row", "500. Keyboard Row")</f>
        <v>500. Keyboard Row</v>
      </c>
      <c r="B859" t="s">
        <v>4</v>
      </c>
      <c r="C859" t="s">
        <v>622</v>
      </c>
      <c r="D859" t="s">
        <v>44</v>
      </c>
    </row>
    <row r="860" spans="1:4" x14ac:dyDescent="0.45">
      <c r="A860" t="str">
        <f>HYPERLINK("https://leetcode.com/problems/count-the-number-of-square-free-subsets", "2572. Count the Number of Square-Free Subsets")</f>
        <v>2572. Count the Number of Square-Free Subsets</v>
      </c>
      <c r="B860" t="s">
        <v>7</v>
      </c>
      <c r="C860" t="s">
        <v>623</v>
      </c>
      <c r="D860" t="s">
        <v>44</v>
      </c>
    </row>
    <row r="861" spans="1:4" x14ac:dyDescent="0.45">
      <c r="A861" t="str">
        <f>HYPERLINK("https://leetcode.com/problems/bulb-switcher", "319. Bulb Switcher")</f>
        <v>319. Bulb Switcher</v>
      </c>
      <c r="B861" t="s">
        <v>7</v>
      </c>
      <c r="C861" t="s">
        <v>401</v>
      </c>
      <c r="D861" t="s">
        <v>350</v>
      </c>
    </row>
    <row r="862" spans="1:4" x14ac:dyDescent="0.45">
      <c r="A862" t="str">
        <f>HYPERLINK("https://leetcode.com/problems/put-marbles-in-bags", "2551. Put Marbles in Bags")</f>
        <v>2551. Put Marbles in Bags</v>
      </c>
      <c r="B862" t="s">
        <v>12</v>
      </c>
      <c r="C862" t="s">
        <v>624</v>
      </c>
      <c r="D862" t="s">
        <v>68</v>
      </c>
    </row>
    <row r="863" spans="1:4" x14ac:dyDescent="0.45">
      <c r="A863" t="str">
        <f>HYPERLINK("https://leetcode.com/problems/find-the-divisibility-array-of-a-string", "2575. Find the Divisibility Array of a String")</f>
        <v>2575. Find the Divisibility Array of a String</v>
      </c>
      <c r="B863" t="s">
        <v>7</v>
      </c>
      <c r="C863" t="s">
        <v>625</v>
      </c>
      <c r="D863" t="s">
        <v>44</v>
      </c>
    </row>
    <row r="864" spans="1:4" x14ac:dyDescent="0.45">
      <c r="A864" t="str">
        <f>HYPERLINK("https://leetcode.com/problems/the-k-weakest-rows-in-a-matrix", "1337. The K Weakest Rows in a Matrix")</f>
        <v>1337. The K Weakest Rows in a Matrix</v>
      </c>
      <c r="B864" t="s">
        <v>4</v>
      </c>
      <c r="C864" t="s">
        <v>372</v>
      </c>
      <c r="D864" t="s">
        <v>44</v>
      </c>
    </row>
    <row r="865" spans="1:4" x14ac:dyDescent="0.45">
      <c r="A865" t="str">
        <f>HYPERLINK("https://leetcode.com/problems/walking-robot-simulation-ii", "2069. Walking Robot Simulation II")</f>
        <v>2069. Walking Robot Simulation II</v>
      </c>
      <c r="B865" t="s">
        <v>7</v>
      </c>
      <c r="C865" t="s">
        <v>626</v>
      </c>
      <c r="D865" t="s">
        <v>44</v>
      </c>
    </row>
    <row r="866" spans="1:4" x14ac:dyDescent="0.45">
      <c r="A866" t="str">
        <f>HYPERLINK("https://leetcode.com/problems/find-the-string-with-lcp", "2573. Find the String with LCP")</f>
        <v>2573. Find the String with LCP</v>
      </c>
      <c r="B866" t="s">
        <v>12</v>
      </c>
      <c r="C866" t="s">
        <v>524</v>
      </c>
      <c r="D866" t="s">
        <v>44</v>
      </c>
    </row>
    <row r="867" spans="1:4" x14ac:dyDescent="0.45">
      <c r="A867" t="str">
        <f>HYPERLINK("https://leetcode.com/problems/solving-questions-with-brainpower", "2140. Solving Questions With Brainpower")</f>
        <v>2140. Solving Questions With Brainpower</v>
      </c>
      <c r="B867" t="s">
        <v>7</v>
      </c>
      <c r="C867" t="s">
        <v>518</v>
      </c>
      <c r="D867" t="s">
        <v>34</v>
      </c>
    </row>
    <row r="868" spans="1:4" x14ac:dyDescent="0.45">
      <c r="A868" t="str">
        <f>HYPERLINK("https://leetcode.com/problems/maximum-value-of-an-ordered-triplet-i", "2873. Maximum Value of an Ordered Triplet I")</f>
        <v>2873. Maximum Value of an Ordered Triplet I</v>
      </c>
      <c r="B868" t="s">
        <v>4</v>
      </c>
      <c r="C868" t="s">
        <v>431</v>
      </c>
      <c r="D868" t="s">
        <v>44</v>
      </c>
    </row>
    <row r="869" spans="1:4" x14ac:dyDescent="0.45">
      <c r="A869" t="str">
        <f>HYPERLINK("https://leetcode.com/problems/shuffle-string", "1528. Shuffle String")</f>
        <v>1528. Shuffle String</v>
      </c>
      <c r="B869" t="s">
        <v>4</v>
      </c>
      <c r="C869" t="s">
        <v>568</v>
      </c>
      <c r="D869" t="s">
        <v>44</v>
      </c>
    </row>
    <row r="870" spans="1:4" x14ac:dyDescent="0.45">
      <c r="A870" t="str">
        <f>HYPERLINK("https://leetcode.com/problems/zero-array-transformation-iv", "3489. Zero Array Transformation IV")</f>
        <v>3489. Zero Array Transformation IV</v>
      </c>
      <c r="B870" t="s">
        <v>7</v>
      </c>
      <c r="C870" t="s">
        <v>627</v>
      </c>
      <c r="D870" t="s">
        <v>44</v>
      </c>
    </row>
    <row r="871" spans="1:4" x14ac:dyDescent="0.45">
      <c r="A871" t="str">
        <f>HYPERLINK("https://leetcode.com/problems/longest-square-streak-in-an-array", "2501. Longest Square Streak in an Array")</f>
        <v>2501. Longest Square Streak in an Array</v>
      </c>
      <c r="B871" t="s">
        <v>7</v>
      </c>
      <c r="C871" t="s">
        <v>244</v>
      </c>
      <c r="D871" t="s">
        <v>34</v>
      </c>
    </row>
    <row r="872" spans="1:4" x14ac:dyDescent="0.45">
      <c r="A872" t="str">
        <f>HYPERLINK("https://leetcode.com/problems/insert-delete-getrandom-o(1)---duplicates-allowed", "381. Insert Delete GetRandom O(1) - Duplicates allowed")</f>
        <v>381. Insert Delete GetRandom O(1) - Duplicates allowed</v>
      </c>
      <c r="B872" t="s">
        <v>12</v>
      </c>
      <c r="C872" t="s">
        <v>233</v>
      </c>
      <c r="D872" t="s">
        <v>99</v>
      </c>
    </row>
    <row r="873" spans="1:4" x14ac:dyDescent="0.45">
      <c r="A873" t="str">
        <f>HYPERLINK("https://leetcode.com/problems/palindrome-partitioning-ii", "132. Palindrome Partitioning II")</f>
        <v>132. Palindrome Partitioning II</v>
      </c>
      <c r="B873" t="s">
        <v>12</v>
      </c>
      <c r="C873" t="s">
        <v>628</v>
      </c>
      <c r="D873" t="s">
        <v>61</v>
      </c>
    </row>
    <row r="874" spans="1:4" x14ac:dyDescent="0.45">
      <c r="A874" t="str">
        <f>HYPERLINK("https://leetcode.com/problems/integer-replacement", "397. Integer Replacement")</f>
        <v>397. Integer Replacement</v>
      </c>
      <c r="B874" t="s">
        <v>7</v>
      </c>
      <c r="C874" t="s">
        <v>364</v>
      </c>
      <c r="D874" t="s">
        <v>44</v>
      </c>
    </row>
    <row r="875" spans="1:4" x14ac:dyDescent="0.45">
      <c r="A875" t="str">
        <f>HYPERLINK("https://leetcode.com/problems/path-sum", "112. Path Sum")</f>
        <v>112. Path Sum</v>
      </c>
      <c r="B875" t="s">
        <v>4</v>
      </c>
      <c r="C875" t="s">
        <v>466</v>
      </c>
      <c r="D875" t="s">
        <v>514</v>
      </c>
    </row>
    <row r="876" spans="1:4" x14ac:dyDescent="0.45">
      <c r="A876" t="str">
        <f>HYPERLINK("https://leetcode.com/problems/nth-digit", "400. Nth Digit")</f>
        <v>400. Nth Digit</v>
      </c>
      <c r="B876" t="s">
        <v>7</v>
      </c>
      <c r="C876" t="s">
        <v>8</v>
      </c>
      <c r="D876" t="s">
        <v>44</v>
      </c>
    </row>
    <row r="877" spans="1:4" x14ac:dyDescent="0.45">
      <c r="A877" t="str">
        <f>HYPERLINK("https://leetcode.com/problems/maximum-value-of-an-ordered-triplet-ii", "2874. Maximum Value of an Ordered Triplet II")</f>
        <v>2874. Maximum Value of an Ordered Triplet II</v>
      </c>
      <c r="B877" t="s">
        <v>7</v>
      </c>
      <c r="C877" t="s">
        <v>342</v>
      </c>
      <c r="D877" t="s">
        <v>128</v>
      </c>
    </row>
    <row r="878" spans="1:4" x14ac:dyDescent="0.45">
      <c r="A878" t="str">
        <f>HYPERLINK("https://leetcode.com/problems/read-n-characters-given-read4-ii---call-multiple-times", "158. Read N Characters Given read4 II - Call Multiple Times")</f>
        <v>158. Read N Characters Given read4 II - Call Multiple Times</v>
      </c>
      <c r="B878" t="s">
        <v>12</v>
      </c>
      <c r="C878" t="s">
        <v>343</v>
      </c>
      <c r="D878" t="s">
        <v>44</v>
      </c>
    </row>
    <row r="879" spans="1:4" x14ac:dyDescent="0.45">
      <c r="A879" t="str">
        <f>HYPERLINK("https://leetcode.com/problems/lowest-common-ancestor-of-deepest-leaves", "1123. Lowest Common Ancestor of Deepest Leaves")</f>
        <v>1123. Lowest Common Ancestor of Deepest Leaves</v>
      </c>
      <c r="B879" t="s">
        <v>7</v>
      </c>
      <c r="C879" t="s">
        <v>230</v>
      </c>
      <c r="D879" t="s">
        <v>303</v>
      </c>
    </row>
    <row r="880" spans="1:4" x14ac:dyDescent="0.45">
      <c r="A880" t="str">
        <f>HYPERLINK("https://leetcode.com/problems/monotonic-array", "896. Monotonic Array")</f>
        <v>896. Monotonic Array</v>
      </c>
      <c r="B880" t="s">
        <v>4</v>
      </c>
      <c r="C880" t="s">
        <v>544</v>
      </c>
      <c r="D880" t="s">
        <v>68</v>
      </c>
    </row>
    <row r="881" spans="1:4" x14ac:dyDescent="0.45">
      <c r="A881" t="str">
        <f>HYPERLINK("https://leetcode.com/problems/design-hashmap", "706. Design HashMap")</f>
        <v>706. Design HashMap</v>
      </c>
      <c r="B881" t="s">
        <v>4</v>
      </c>
      <c r="C881" t="s">
        <v>427</v>
      </c>
      <c r="D881" t="s">
        <v>629</v>
      </c>
    </row>
    <row r="882" spans="1:4" x14ac:dyDescent="0.45">
      <c r="A882" t="str">
        <f>HYPERLINK("https://leetcode.com/problems/function-composition", "2629. Function Composition")</f>
        <v>2629. Function Composition</v>
      </c>
      <c r="B882" t="s">
        <v>4</v>
      </c>
      <c r="C882" t="s">
        <v>314</v>
      </c>
      <c r="D882" t="s">
        <v>34</v>
      </c>
    </row>
    <row r="883" spans="1:4" x14ac:dyDescent="0.45">
      <c r="A883" t="str">
        <f>HYPERLINK("https://leetcode.com/problems/sum-of-all-subset-xor-totals", "1863. Sum of All Subset XOR Totals")</f>
        <v>1863. Sum of All Subset XOR Totals</v>
      </c>
      <c r="B883" t="s">
        <v>4</v>
      </c>
      <c r="C883" t="s">
        <v>386</v>
      </c>
      <c r="D883" t="s">
        <v>91</v>
      </c>
    </row>
    <row r="884" spans="1:4" x14ac:dyDescent="0.45">
      <c r="A884" t="str">
        <f>HYPERLINK("https://leetcode.com/problems/minimum-cost-to-merge-stones", "1000. Minimum Cost to Merge Stones")</f>
        <v>1000. Minimum Cost to Merge Stones</v>
      </c>
      <c r="B884" t="s">
        <v>12</v>
      </c>
      <c r="C884" t="s">
        <v>283</v>
      </c>
      <c r="D884" t="s">
        <v>61</v>
      </c>
    </row>
    <row r="885" spans="1:4" x14ac:dyDescent="0.45">
      <c r="A885" t="str">
        <f>HYPERLINK("https://leetcode.com/problems/removing-stars-from-a-string", "2390. Removing Stars From a String")</f>
        <v>2390. Removing Stars From a String</v>
      </c>
      <c r="B885" t="s">
        <v>7</v>
      </c>
      <c r="C885" t="s">
        <v>526</v>
      </c>
      <c r="D885" t="s">
        <v>44</v>
      </c>
    </row>
    <row r="886" spans="1:4" x14ac:dyDescent="0.45">
      <c r="A886" t="str">
        <f>HYPERLINK("https://leetcode.com/problems/movie-rating", "1341. Movie Rating")</f>
        <v>1341. Movie Rating</v>
      </c>
      <c r="B886" t="s">
        <v>7</v>
      </c>
      <c r="C886" t="s">
        <v>151</v>
      </c>
      <c r="D886" t="s">
        <v>44</v>
      </c>
    </row>
    <row r="887" spans="1:4" x14ac:dyDescent="0.45">
      <c r="A887" t="str">
        <f>HYPERLINK("https://leetcode.com/problems/2-keys-keyboard", "650. 2 Keys Keyboard")</f>
        <v>650. 2 Keys Keyboard</v>
      </c>
      <c r="B887" t="s">
        <v>7</v>
      </c>
      <c r="C887" t="s">
        <v>543</v>
      </c>
      <c r="D887" t="s">
        <v>34</v>
      </c>
    </row>
    <row r="888" spans="1:4" x14ac:dyDescent="0.45">
      <c r="A888" t="str">
        <f>HYPERLINK("https://leetcode.com/problems/shifting-letters", "848. Shifting Letters")</f>
        <v>848. Shifting Letters</v>
      </c>
      <c r="B888" t="s">
        <v>7</v>
      </c>
      <c r="C888" t="s">
        <v>399</v>
      </c>
      <c r="D888" t="s">
        <v>44</v>
      </c>
    </row>
    <row r="889" spans="1:4" x14ac:dyDescent="0.45">
      <c r="A889" t="str">
        <f>HYPERLINK("https://leetcode.com/problems/largest-divisible-subset", "368. Largest Divisible Subset")</f>
        <v>368. Largest Divisible Subset</v>
      </c>
      <c r="B889" t="s">
        <v>7</v>
      </c>
      <c r="C889" t="s">
        <v>630</v>
      </c>
      <c r="D889" t="s">
        <v>11</v>
      </c>
    </row>
    <row r="890" spans="1:4" x14ac:dyDescent="0.45">
      <c r="A890" t="str">
        <f>HYPERLINK("https://leetcode.com/problems/find-the-celebrity", "277. Find the Celebrity")</f>
        <v>277. Find the Celebrity</v>
      </c>
      <c r="B890" t="s">
        <v>7</v>
      </c>
      <c r="C890" t="s">
        <v>88</v>
      </c>
      <c r="D890" t="s">
        <v>631</v>
      </c>
    </row>
    <row r="891" spans="1:4" x14ac:dyDescent="0.45">
      <c r="A891" t="str">
        <f>HYPERLINK("https://leetcode.com/problems/valid-square", "593. Valid Square")</f>
        <v>593. Valid Square</v>
      </c>
      <c r="B891" t="s">
        <v>7</v>
      </c>
      <c r="C891" t="s">
        <v>62</v>
      </c>
      <c r="D891" t="s">
        <v>44</v>
      </c>
    </row>
    <row r="892" spans="1:4" x14ac:dyDescent="0.45">
      <c r="A892" t="str">
        <f>HYPERLINK("https://leetcode.com/problems/expressive-words", "809. Expressive Words")</f>
        <v>809. Expressive Words</v>
      </c>
      <c r="B892" t="s">
        <v>7</v>
      </c>
      <c r="C892" t="s">
        <v>632</v>
      </c>
      <c r="D892" t="s">
        <v>44</v>
      </c>
    </row>
    <row r="893" spans="1:4" x14ac:dyDescent="0.45">
      <c r="A893" t="str">
        <f>HYPERLINK("https://leetcode.com/problems/matrix-diagonal-sum", "1572. Matrix Diagonal Sum")</f>
        <v>1572. Matrix Diagonal Sum</v>
      </c>
      <c r="B893" t="s">
        <v>4</v>
      </c>
      <c r="C893" t="s">
        <v>312</v>
      </c>
      <c r="D893" t="s">
        <v>61</v>
      </c>
    </row>
    <row r="894" spans="1:4" x14ac:dyDescent="0.45">
      <c r="A894" t="str">
        <f>HYPERLINK("https://leetcode.com/problems/minimum-number-of-operations-to-make-elements-in-array-distinct", "3396. Minimum Number of Operations to Make Elements in Array Distinct")</f>
        <v>3396. Minimum Number of Operations to Make Elements in Array Distinct</v>
      </c>
      <c r="B894" t="s">
        <v>4</v>
      </c>
      <c r="C894" t="s">
        <v>400</v>
      </c>
      <c r="D894" t="s">
        <v>20</v>
      </c>
    </row>
    <row r="895" spans="1:4" x14ac:dyDescent="0.45">
      <c r="A895" t="str">
        <f>HYPERLINK("https://leetcode.com/problems/count-total-number-of-colored-cells", "2579. Count Total Number of Colored Cells")</f>
        <v>2579. Count Total Number of Colored Cells</v>
      </c>
      <c r="B895" t="s">
        <v>7</v>
      </c>
      <c r="C895" t="s">
        <v>217</v>
      </c>
      <c r="D895" t="s">
        <v>20</v>
      </c>
    </row>
    <row r="896" spans="1:4" x14ac:dyDescent="0.45">
      <c r="A896" t="str">
        <f>HYPERLINK("https://leetcode.com/problems/boats-to-save-people", "881. Boats to Save People")</f>
        <v>881. Boats to Save People</v>
      </c>
      <c r="B896" t="s">
        <v>7</v>
      </c>
      <c r="C896" t="s">
        <v>280</v>
      </c>
      <c r="D896" t="s">
        <v>61</v>
      </c>
    </row>
    <row r="897" spans="1:4" x14ac:dyDescent="0.45">
      <c r="A897" t="str">
        <f>HYPERLINK("https://leetcode.com/problems/minimum-operations-to-make-array-values-equal-to-k", "3375. Minimum Operations to Make Array Values Equal to K")</f>
        <v>3375. Minimum Operations to Make Array Values Equal to K</v>
      </c>
      <c r="B897" t="s">
        <v>4</v>
      </c>
      <c r="C897" t="s">
        <v>633</v>
      </c>
      <c r="D897" t="s">
        <v>44</v>
      </c>
    </row>
    <row r="898" spans="1:4" x14ac:dyDescent="0.45">
      <c r="A898" t="str">
        <f>HYPERLINK("https://leetcode.com/problems/valid-parenthesis-string", "678. Valid Parenthesis String")</f>
        <v>678. Valid Parenthesis String</v>
      </c>
      <c r="B898" t="s">
        <v>7</v>
      </c>
      <c r="C898" t="s">
        <v>465</v>
      </c>
      <c r="D898" t="s">
        <v>631</v>
      </c>
    </row>
    <row r="899" spans="1:4" x14ac:dyDescent="0.45">
      <c r="A899" t="str">
        <f>HYPERLINK("https://leetcode.com/problems/day-of-the-year", "1154. Day of the Year")</f>
        <v>1154. Day of the Year</v>
      </c>
      <c r="B899" t="s">
        <v>4</v>
      </c>
      <c r="C899" t="s">
        <v>634</v>
      </c>
      <c r="D899" t="s">
        <v>44</v>
      </c>
    </row>
    <row r="900" spans="1:4" x14ac:dyDescent="0.45">
      <c r="A900" t="str">
        <f>HYPERLINK("https://leetcode.com/problems/corporate-flight-bookings", "1109. Corporate Flight Bookings")</f>
        <v>1109. Corporate Flight Bookings</v>
      </c>
      <c r="B900" t="s">
        <v>7</v>
      </c>
      <c r="C900" t="s">
        <v>353</v>
      </c>
      <c r="D900" t="s">
        <v>44</v>
      </c>
    </row>
    <row r="901" spans="1:4" x14ac:dyDescent="0.45">
      <c r="A901" t="str">
        <f>HYPERLINK("https://leetcode.com/problems/queries-quality-and-percentage", "1211. Queries Quality and Percentage")</f>
        <v>1211. Queries Quality and Percentage</v>
      </c>
      <c r="B901" t="s">
        <v>4</v>
      </c>
      <c r="C901" t="s">
        <v>40</v>
      </c>
      <c r="D901" t="s">
        <v>61</v>
      </c>
    </row>
    <row r="902" spans="1:4" x14ac:dyDescent="0.45">
      <c r="A902" t="str">
        <f>HYPERLINK("https://leetcode.com/problems/minimum-time-difference", "539. Minimum Time Difference")</f>
        <v>539. Minimum Time Difference</v>
      </c>
      <c r="B902" t="s">
        <v>7</v>
      </c>
      <c r="C902" t="s">
        <v>635</v>
      </c>
      <c r="D902" t="s">
        <v>309</v>
      </c>
    </row>
    <row r="903" spans="1:4" x14ac:dyDescent="0.45">
      <c r="A903" t="str">
        <f>HYPERLINK("https://leetcode.com/problems/count-the-number-of-powerful-integers", "2999. Count the Number of Powerful Integers")</f>
        <v>2999. Count the Number of Powerful Integers</v>
      </c>
      <c r="B903" t="s">
        <v>12</v>
      </c>
      <c r="C903" t="s">
        <v>19</v>
      </c>
      <c r="D903" t="s">
        <v>44</v>
      </c>
    </row>
    <row r="904" spans="1:4" x14ac:dyDescent="0.45">
      <c r="A904" t="str">
        <f>HYPERLINK("https://leetcode.com/problems/design-hashset", "705. Design HashSet")</f>
        <v>705. Design HashSet</v>
      </c>
      <c r="B904" t="s">
        <v>4</v>
      </c>
      <c r="C904" t="s">
        <v>636</v>
      </c>
      <c r="D904" t="s">
        <v>34</v>
      </c>
    </row>
    <row r="905" spans="1:4" x14ac:dyDescent="0.45">
      <c r="A905" t="str">
        <f>HYPERLINK("https://leetcode.com/problems/count-symmetric-integers", "2843. Count Symmetric Integers")</f>
        <v>2843. Count Symmetric Integers</v>
      </c>
      <c r="B905" t="s">
        <v>4</v>
      </c>
      <c r="C905" t="s">
        <v>588</v>
      </c>
      <c r="D905" t="s">
        <v>330</v>
      </c>
    </row>
    <row r="906" spans="1:4" x14ac:dyDescent="0.45">
      <c r="A906" t="str">
        <f>HYPERLINK("https://leetcode.com/problems/two-furthest-houses-with-different-colors", "2078. Two Furthest Houses With Different Colors")</f>
        <v>2078. Two Furthest Houses With Different Colors</v>
      </c>
      <c r="B906" t="s">
        <v>4</v>
      </c>
      <c r="C906" t="s">
        <v>299</v>
      </c>
      <c r="D906" t="s">
        <v>44</v>
      </c>
    </row>
    <row r="907" spans="1:4" x14ac:dyDescent="0.45">
      <c r="A907" t="str">
        <f>HYPERLINK("https://leetcode.com/problems/number-of-good-pairs", "1512. Number of Good Pairs")</f>
        <v>1512. Number of Good Pairs</v>
      </c>
      <c r="B907" t="s">
        <v>4</v>
      </c>
      <c r="C907" t="s">
        <v>637</v>
      </c>
      <c r="D907" t="s">
        <v>61</v>
      </c>
    </row>
    <row r="908" spans="1:4" x14ac:dyDescent="0.45">
      <c r="A908" t="str">
        <f>HYPERLINK("https://leetcode.com/problems/minimum-moves-to-equal-array-elements-ii", "462. Minimum Moves to Equal Array Elements II")</f>
        <v>462. Minimum Moves to Equal Array Elements II</v>
      </c>
      <c r="B908" t="s">
        <v>7</v>
      </c>
      <c r="C908" t="s">
        <v>423</v>
      </c>
      <c r="D908" t="s">
        <v>44</v>
      </c>
    </row>
    <row r="909" spans="1:4" x14ac:dyDescent="0.45">
      <c r="A909" t="str">
        <f>HYPERLINK("https://leetcode.com/problems/split-linked-list-in-parts", "725. Split Linked List in Parts")</f>
        <v>725. Split Linked List in Parts</v>
      </c>
      <c r="B909" t="s">
        <v>7</v>
      </c>
      <c r="C909" t="s">
        <v>445</v>
      </c>
      <c r="D909" t="s">
        <v>393</v>
      </c>
    </row>
    <row r="910" spans="1:4" x14ac:dyDescent="0.45">
      <c r="A910" t="str">
        <f>HYPERLINK("https://leetcode.com/problems/find-the-count-of-good-integers", "3272. Find the Count of Good Integers")</f>
        <v>3272. Find the Count of Good Integers</v>
      </c>
      <c r="B910" t="s">
        <v>12</v>
      </c>
      <c r="C910" t="s">
        <v>525</v>
      </c>
      <c r="D910" t="s">
        <v>34</v>
      </c>
    </row>
    <row r="911" spans="1:4" x14ac:dyDescent="0.45">
      <c r="A911" t="str">
        <f>HYPERLINK("https://leetcode.com/problems/inorder-successor-in-bst", "285. Inorder Successor in BST")</f>
        <v>285. Inorder Successor in BST</v>
      </c>
      <c r="B911" t="s">
        <v>7</v>
      </c>
      <c r="C911" t="s">
        <v>638</v>
      </c>
      <c r="D911" t="s">
        <v>44</v>
      </c>
    </row>
    <row r="912" spans="1:4" x14ac:dyDescent="0.45">
      <c r="A912" t="str">
        <f>HYPERLINK("https://leetcode.com/problems/rectangle-area", "223. Rectangle Area")</f>
        <v>223. Rectangle Area</v>
      </c>
      <c r="B912" t="s">
        <v>7</v>
      </c>
      <c r="C912" t="s">
        <v>40</v>
      </c>
      <c r="D912" t="s">
        <v>44</v>
      </c>
    </row>
    <row r="913" spans="1:4" x14ac:dyDescent="0.45">
      <c r="A913" t="str">
        <f>HYPERLINK("https://leetcode.com/problems/count-good-triplets", "1534. Count Good Triplets")</f>
        <v>1534. Count Good Triplets</v>
      </c>
      <c r="B913" t="s">
        <v>4</v>
      </c>
      <c r="C913" t="s">
        <v>531</v>
      </c>
      <c r="D913" t="s">
        <v>234</v>
      </c>
    </row>
    <row r="914" spans="1:4" x14ac:dyDescent="0.45">
      <c r="A914" t="str">
        <f>HYPERLINK("https://leetcode.com/problems/find-k-pairs-with-smallest-sums", "373. Find K Pairs with Smallest Sums")</f>
        <v>373. Find K Pairs with Smallest Sums</v>
      </c>
      <c r="B914" t="s">
        <v>7</v>
      </c>
      <c r="C914" t="s">
        <v>329</v>
      </c>
      <c r="D914" t="s">
        <v>87</v>
      </c>
    </row>
    <row r="915" spans="1:4" x14ac:dyDescent="0.45">
      <c r="A915" t="str">
        <f>HYPERLINK("https://leetcode.com/problems/count-good-triplets-in-an-array", "2179. Count Good Triplets in an Array")</f>
        <v>2179. Count Good Triplets in an Array</v>
      </c>
      <c r="B915" t="s">
        <v>12</v>
      </c>
      <c r="C915" t="s">
        <v>379</v>
      </c>
      <c r="D915" t="s">
        <v>44</v>
      </c>
    </row>
    <row r="916" spans="1:4" x14ac:dyDescent="0.45">
      <c r="A916" t="str">
        <f>HYPERLINK("https://leetcode.com/problems/height-checker", "1051. Height Checker")</f>
        <v>1051. Height Checker</v>
      </c>
      <c r="B916" t="s">
        <v>4</v>
      </c>
      <c r="C916" t="s">
        <v>639</v>
      </c>
      <c r="D916" t="s">
        <v>44</v>
      </c>
    </row>
    <row r="917" spans="1:4" x14ac:dyDescent="0.45">
      <c r="A917" t="str">
        <f>HYPERLINK("https://leetcode.com/problems/last-stone-weight-ii", "1049. Last Stone Weight II")</f>
        <v>1049. Last Stone Weight II</v>
      </c>
      <c r="B917" t="s">
        <v>7</v>
      </c>
      <c r="C917" t="s">
        <v>422</v>
      </c>
      <c r="D917" t="s">
        <v>44</v>
      </c>
    </row>
    <row r="918" spans="1:4" x14ac:dyDescent="0.45">
      <c r="A918" t="str">
        <f>HYPERLINK("https://leetcode.com/problems/find-closest-number-to-zero", "2239. Find Closest Number to Zero")</f>
        <v>2239. Find Closest Number to Zero</v>
      </c>
      <c r="B918" t="s">
        <v>4</v>
      </c>
      <c r="C918" t="s">
        <v>274</v>
      </c>
      <c r="D918" t="s">
        <v>44</v>
      </c>
    </row>
    <row r="919" spans="1:4" hidden="1" x14ac:dyDescent="0.45">
      <c r="A919" t="str">
        <f>HYPERLINK("https://leetcode.com/problems/high-five", "1086. High Five")</f>
        <v>1086. High Five</v>
      </c>
      <c r="B919" t="s">
        <v>4</v>
      </c>
      <c r="C919" t="s">
        <v>323</v>
      </c>
      <c r="D919" t="s">
        <v>640</v>
      </c>
    </row>
    <row r="920" spans="1:4" hidden="1" x14ac:dyDescent="0.45">
      <c r="A920" t="str">
        <f>HYPERLINK("https://leetcode.com/problems/robot-bounded-in-circle", "1041. Robot Bounded In Circle")</f>
        <v>1041. Robot Bounded In Circle</v>
      </c>
      <c r="B920" t="s">
        <v>7</v>
      </c>
      <c r="C920" t="s">
        <v>21</v>
      </c>
      <c r="D920" t="s">
        <v>641</v>
      </c>
    </row>
    <row r="921" spans="1:4" hidden="1" x14ac:dyDescent="0.45">
      <c r="A921" t="str">
        <f>HYPERLINK("https://leetcode.com/problems/backspace-string-compare", "844. Backspace String Compare")</f>
        <v>844. Backspace String Compare</v>
      </c>
      <c r="B921" t="s">
        <v>4</v>
      </c>
      <c r="C921" t="s">
        <v>301</v>
      </c>
      <c r="D921" t="s">
        <v>642</v>
      </c>
    </row>
    <row r="922" spans="1:4" hidden="1" x14ac:dyDescent="0.45">
      <c r="A922" t="str">
        <f>HYPERLINK("https://leetcode.com/problems/find-the-winner-of-the-circular-game", "1823. Find the Winner of the Circular Game")</f>
        <v>1823. Find the Winner of the Circular Game</v>
      </c>
      <c r="B922" t="s">
        <v>7</v>
      </c>
      <c r="C922" t="s">
        <v>643</v>
      </c>
      <c r="D922" t="s">
        <v>644</v>
      </c>
    </row>
    <row r="923" spans="1:4" hidden="1" x14ac:dyDescent="0.45">
      <c r="A923" t="str">
        <f>HYPERLINK("https://leetcode.com/problems/maximum-profit-in-job-scheduling", "1235. Maximum Profit in Job Scheduling")</f>
        <v>1235. Maximum Profit in Job Scheduling</v>
      </c>
      <c r="B923" t="s">
        <v>12</v>
      </c>
      <c r="C923" t="s">
        <v>200</v>
      </c>
      <c r="D923" t="s">
        <v>645</v>
      </c>
    </row>
    <row r="924" spans="1:4" hidden="1" x14ac:dyDescent="0.45">
      <c r="A924" t="str">
        <f>HYPERLINK("https://leetcode.com/problems/maximum-size-subarray-sum-equals-k", "325. Maximum Size Subarray Sum Equals k")</f>
        <v>325. Maximum Size Subarray Sum Equals k</v>
      </c>
      <c r="B924" t="s">
        <v>7</v>
      </c>
      <c r="C924" t="s">
        <v>646</v>
      </c>
      <c r="D924" t="s">
        <v>647</v>
      </c>
    </row>
    <row r="925" spans="1:4" hidden="1" x14ac:dyDescent="0.45">
      <c r="A925" t="str">
        <f>HYPERLINK("https://leetcode.com/problems/minimum-value-to-get-positive-step-by-step-sum", "1413. Minimum Value to Get Positive Step by Step Sum")</f>
        <v>1413. Minimum Value to Get Positive Step by Step Sum</v>
      </c>
      <c r="B925" t="s">
        <v>4</v>
      </c>
      <c r="C925" t="s">
        <v>608</v>
      </c>
      <c r="D925" t="s">
        <v>640</v>
      </c>
    </row>
    <row r="926" spans="1:4" hidden="1" x14ac:dyDescent="0.45">
      <c r="A926" t="str">
        <f>HYPERLINK("https://leetcode.com/problems/snakes-and-ladders", "909. Snakes and Ladders")</f>
        <v>909. Snakes and Ladders</v>
      </c>
      <c r="B926" t="s">
        <v>7</v>
      </c>
      <c r="C926" t="s">
        <v>283</v>
      </c>
      <c r="D926" t="s">
        <v>648</v>
      </c>
    </row>
    <row r="927" spans="1:4" hidden="1" x14ac:dyDescent="0.45">
      <c r="A927" t="str">
        <f>HYPERLINK("https://leetcode.com/problems/open-the-lock", "752. Open the Lock")</f>
        <v>752. Open the Lock</v>
      </c>
      <c r="B927" t="s">
        <v>7</v>
      </c>
      <c r="C927" t="s">
        <v>440</v>
      </c>
      <c r="D927" t="s">
        <v>649</v>
      </c>
    </row>
    <row r="928" spans="1:4" hidden="1" x14ac:dyDescent="0.45">
      <c r="A928" t="str">
        <f>HYPERLINK("https://leetcode.com/problems/maximum-sum-circular-subarray", "918. Maximum Sum Circular Subarray")</f>
        <v>918. Maximum Sum Circular Subarray</v>
      </c>
      <c r="B928" t="s">
        <v>7</v>
      </c>
      <c r="C928" t="s">
        <v>368</v>
      </c>
      <c r="D928" t="s">
        <v>650</v>
      </c>
    </row>
    <row r="929" spans="1:4" hidden="1" x14ac:dyDescent="0.45">
      <c r="A929" t="str">
        <f>HYPERLINK("https://leetcode.com/problems/third-maximum-number", "414. Third Maximum Number")</f>
        <v>414. Third Maximum Number</v>
      </c>
      <c r="B929" t="s">
        <v>4</v>
      </c>
      <c r="C929" t="s">
        <v>464</v>
      </c>
      <c r="D929" t="s">
        <v>651</v>
      </c>
    </row>
    <row r="930" spans="1:4" hidden="1" x14ac:dyDescent="0.45">
      <c r="A930" t="str">
        <f>HYPERLINK("https://leetcode.com/problems/permutations-iii", "3437. Permutations III")</f>
        <v>3437. Permutations III</v>
      </c>
      <c r="B930" t="s">
        <v>7</v>
      </c>
      <c r="C930" t="s">
        <v>652</v>
      </c>
      <c r="D930" t="s">
        <v>640</v>
      </c>
    </row>
    <row r="931" spans="1:4" hidden="1" x14ac:dyDescent="0.45">
      <c r="A931" t="str">
        <f>HYPERLINK("https://leetcode.com/problems/simple-bank-system", "2043. Simple Bank System")</f>
        <v>2043. Simple Bank System</v>
      </c>
      <c r="B931" t="s">
        <v>7</v>
      </c>
      <c r="C931" t="s">
        <v>70</v>
      </c>
      <c r="D931" t="s">
        <v>653</v>
      </c>
    </row>
    <row r="932" spans="1:4" hidden="1" x14ac:dyDescent="0.45">
      <c r="A932" t="str">
        <f>HYPERLINK("https://leetcode.com/problems/remove-all-adjacent-duplicates-in-string-ii", "1209. Remove All Adjacent Duplicates in String II")</f>
        <v>1209. Remove All Adjacent Duplicates in String II</v>
      </c>
      <c r="B932" t="s">
        <v>7</v>
      </c>
      <c r="C932" t="s">
        <v>173</v>
      </c>
      <c r="D932" t="s">
        <v>654</v>
      </c>
    </row>
    <row r="933" spans="1:4" hidden="1" x14ac:dyDescent="0.45">
      <c r="A933" t="str">
        <f>HYPERLINK("https://leetcode.com/problems/binary-tree-cameras", "968. Binary Tree Cameras")</f>
        <v>968. Binary Tree Cameras</v>
      </c>
      <c r="B933" t="s">
        <v>12</v>
      </c>
      <c r="C933" t="s">
        <v>274</v>
      </c>
      <c r="D933" t="s">
        <v>653</v>
      </c>
    </row>
    <row r="934" spans="1:4" hidden="1" x14ac:dyDescent="0.45">
      <c r="A934" t="str">
        <f>HYPERLINK("https://leetcode.com/problems/check-if-the-sentence-is-pangram", "1832. Check if the Sentence Is Pangram")</f>
        <v>1832. Check if the Sentence Is Pangram</v>
      </c>
      <c r="B934" t="s">
        <v>4</v>
      </c>
      <c r="C934" t="s">
        <v>455</v>
      </c>
      <c r="D934" t="s">
        <v>647</v>
      </c>
    </row>
    <row r="935" spans="1:4" hidden="1" x14ac:dyDescent="0.45">
      <c r="A935" t="str">
        <f>HYPERLINK("https://leetcode.com/problems/design-circular-deque", "641. Design Circular Deque")</f>
        <v>641. Design Circular Deque</v>
      </c>
      <c r="B935" t="s">
        <v>7</v>
      </c>
      <c r="C935" t="s">
        <v>457</v>
      </c>
      <c r="D935" t="s">
        <v>640</v>
      </c>
    </row>
    <row r="936" spans="1:4" hidden="1" x14ac:dyDescent="0.45">
      <c r="A936" t="str">
        <f>HYPERLINK("https://leetcode.com/problems/palindrome-pairs", "336. Palindrome Pairs")</f>
        <v>336. Palindrome Pairs</v>
      </c>
      <c r="B936" t="s">
        <v>12</v>
      </c>
      <c r="C936" t="s">
        <v>655</v>
      </c>
      <c r="D936" t="s">
        <v>653</v>
      </c>
    </row>
    <row r="937" spans="1:4" hidden="1" x14ac:dyDescent="0.45">
      <c r="A937" t="str">
        <f>HYPERLINK("https://leetcode.com/problems/lexicographically-smallest-string-after-substring-operation", "2734. Lexicographically Smallest String After Substring Operation")</f>
        <v>2734. Lexicographically Smallest String After Substring Operation</v>
      </c>
      <c r="B937" t="s">
        <v>7</v>
      </c>
      <c r="C937" t="s">
        <v>656</v>
      </c>
      <c r="D937" t="s">
        <v>640</v>
      </c>
    </row>
    <row r="938" spans="1:4" hidden="1" x14ac:dyDescent="0.45">
      <c r="A938" t="str">
        <f>HYPERLINK("https://leetcode.com/problems/consecutive-characters", "1446. Consecutive Characters")</f>
        <v>1446. Consecutive Characters</v>
      </c>
      <c r="B938" t="s">
        <v>4</v>
      </c>
      <c r="C938" t="s">
        <v>657</v>
      </c>
      <c r="D938" t="s">
        <v>640</v>
      </c>
    </row>
    <row r="939" spans="1:4" hidden="1" x14ac:dyDescent="0.45">
      <c r="A939" t="str">
        <f>HYPERLINK("https://leetcode.com/problems/knight-probability-in-chessboard", "688. Knight Probability in Chessboard")</f>
        <v>688. Knight Probability in Chessboard</v>
      </c>
      <c r="B939" t="s">
        <v>7</v>
      </c>
      <c r="C939" t="s">
        <v>658</v>
      </c>
      <c r="D939" t="s">
        <v>640</v>
      </c>
    </row>
    <row r="940" spans="1:4" hidden="1" x14ac:dyDescent="0.45">
      <c r="A940" t="str">
        <f>HYPERLINK("https://leetcode.com/problems/car-pooling", "1094. Car Pooling")</f>
        <v>1094. Car Pooling</v>
      </c>
      <c r="B940" t="s">
        <v>7</v>
      </c>
      <c r="C940" t="s">
        <v>287</v>
      </c>
      <c r="D940" t="s">
        <v>650</v>
      </c>
    </row>
    <row r="941" spans="1:4" hidden="1" x14ac:dyDescent="0.45">
      <c r="A941" t="str">
        <f>HYPERLINK("https://leetcode.com/problems/path-sum-ii", "113. Path Sum II")</f>
        <v>113. Path Sum II</v>
      </c>
      <c r="B941" t="s">
        <v>7</v>
      </c>
      <c r="C941" t="s">
        <v>447</v>
      </c>
      <c r="D941" t="s">
        <v>659</v>
      </c>
    </row>
    <row r="942" spans="1:4" hidden="1" x14ac:dyDescent="0.45">
      <c r="A942" t="str">
        <f>HYPERLINK("https://leetcode.com/problems/plates-between-candles", "2055. Plates Between Candles")</f>
        <v>2055. Plates Between Candles</v>
      </c>
      <c r="B942" t="s">
        <v>7</v>
      </c>
      <c r="C942" t="s">
        <v>138</v>
      </c>
      <c r="D942" t="s">
        <v>660</v>
      </c>
    </row>
    <row r="943" spans="1:4" hidden="1" x14ac:dyDescent="0.45">
      <c r="A943" t="str">
        <f>HYPERLINK("https://leetcode.com/problems/duplicate-emails", "182. Duplicate Emails")</f>
        <v>182. Duplicate Emails</v>
      </c>
      <c r="B943" t="s">
        <v>4</v>
      </c>
      <c r="C943" t="s">
        <v>622</v>
      </c>
      <c r="D943" t="s">
        <v>659</v>
      </c>
    </row>
    <row r="944" spans="1:4" hidden="1" x14ac:dyDescent="0.45">
      <c r="A944" t="str">
        <f>HYPERLINK("https://leetcode.com/problems/lowest-common-ancestor-of-a-binary-search-tree", "235. Lowest Common Ancestor of a Binary Search Tree")</f>
        <v>235. Lowest Common Ancestor of a Binary Search Tree</v>
      </c>
      <c r="B944" t="s">
        <v>7</v>
      </c>
      <c r="C944" t="s">
        <v>225</v>
      </c>
      <c r="D944" t="s">
        <v>661</v>
      </c>
    </row>
    <row r="945" spans="1:4" hidden="1" x14ac:dyDescent="0.45">
      <c r="A945" t="str">
        <f>HYPERLINK("https://leetcode.com/problems/sum-of-total-strength-of-wizards", "2281. Sum of Total Strength of Wizards")</f>
        <v>2281. Sum of Total Strength of Wizards</v>
      </c>
      <c r="B945" t="s">
        <v>12</v>
      </c>
      <c r="C945" t="s">
        <v>662</v>
      </c>
      <c r="D945" t="s">
        <v>663</v>
      </c>
    </row>
    <row r="946" spans="1:4" hidden="1" x14ac:dyDescent="0.45">
      <c r="A946" t="str">
        <f>HYPERLINK("https://leetcode.com/problems/apply-discount-to-prices", "2288. Apply Discount to Prices")</f>
        <v>2288. Apply Discount to Prices</v>
      </c>
      <c r="B946" t="s">
        <v>7</v>
      </c>
      <c r="C946" t="s">
        <v>594</v>
      </c>
      <c r="D946" t="s">
        <v>663</v>
      </c>
    </row>
    <row r="947" spans="1:4" hidden="1" x14ac:dyDescent="0.45">
      <c r="A947" t="str">
        <f>HYPERLINK("https://leetcode.com/problems/longest-substring-with-at-most-k-distinct-characters", "340. Longest Substring with At Most K Distinct Characters")</f>
        <v>340. Longest Substring with At Most K Distinct Characters</v>
      </c>
      <c r="B947" t="s">
        <v>7</v>
      </c>
      <c r="C947" t="s">
        <v>301</v>
      </c>
      <c r="D947" t="s">
        <v>664</v>
      </c>
    </row>
    <row r="948" spans="1:4" hidden="1" x14ac:dyDescent="0.45">
      <c r="A948" t="str">
        <f>HYPERLINK("https://leetcode.com/problems/design-tic-tac-toe", "348. Design Tic-Tac-Toe")</f>
        <v>348. Design Tic-Tac-Toe</v>
      </c>
      <c r="B948" t="s">
        <v>7</v>
      </c>
      <c r="C948" t="s">
        <v>479</v>
      </c>
      <c r="D948" t="s">
        <v>665</v>
      </c>
    </row>
    <row r="949" spans="1:4" hidden="1" x14ac:dyDescent="0.45">
      <c r="A949" t="str">
        <f>HYPERLINK("https://leetcode.com/problems/make-array-zero-by-subtracting-equal-amounts", "2357. Make Array Zero by Subtracting Equal Amounts")</f>
        <v>2357. Make Array Zero by Subtracting Equal Amounts</v>
      </c>
      <c r="B949" t="s">
        <v>4</v>
      </c>
      <c r="C949" t="s">
        <v>507</v>
      </c>
      <c r="D949" t="s">
        <v>663</v>
      </c>
    </row>
    <row r="950" spans="1:4" hidden="1" x14ac:dyDescent="0.45">
      <c r="A950" t="str">
        <f>HYPERLINK("https://leetcode.com/problems/path-sum-iii", "437. Path Sum III")</f>
        <v>437. Path Sum III</v>
      </c>
      <c r="B950" t="s">
        <v>7</v>
      </c>
      <c r="C950" t="s">
        <v>194</v>
      </c>
      <c r="D950" t="s">
        <v>666</v>
      </c>
    </row>
    <row r="951" spans="1:4" hidden="1" x14ac:dyDescent="0.45">
      <c r="A951" t="str">
        <f>HYPERLINK("https://leetcode.com/problems/optimal-partition-of-string", "2405. Optimal Partition of String")</f>
        <v>2405. Optimal Partition of String</v>
      </c>
      <c r="B951" t="s">
        <v>7</v>
      </c>
      <c r="C951" t="s">
        <v>184</v>
      </c>
      <c r="D951" t="s">
        <v>663</v>
      </c>
    </row>
    <row r="952" spans="1:4" hidden="1" x14ac:dyDescent="0.45">
      <c r="A952" t="str">
        <f>HYPERLINK("https://leetcode.com/problems/concatenated-words", "472. Concatenated Words")</f>
        <v>472. Concatenated Words</v>
      </c>
      <c r="B952" t="s">
        <v>12</v>
      </c>
      <c r="C952" t="s">
        <v>301</v>
      </c>
      <c r="D952" t="s">
        <v>663</v>
      </c>
    </row>
    <row r="953" spans="1:4" hidden="1" x14ac:dyDescent="0.45">
      <c r="A953" t="str">
        <f>HYPERLINK("https://leetcode.com/problems/heaters", "475. Heaters")</f>
        <v>475. Heaters</v>
      </c>
      <c r="B953" t="s">
        <v>7</v>
      </c>
      <c r="C953" t="s">
        <v>98</v>
      </c>
      <c r="D953" t="s">
        <v>667</v>
      </c>
    </row>
    <row r="954" spans="1:4" hidden="1" x14ac:dyDescent="0.45">
      <c r="A954" t="str">
        <f>HYPERLINK("https://leetcode.com/problems/boundary-of-binary-tree", "545. Boundary of Binary Tree")</f>
        <v>545. Boundary of Binary Tree</v>
      </c>
      <c r="B954" t="s">
        <v>7</v>
      </c>
      <c r="C954" t="s">
        <v>179</v>
      </c>
      <c r="D954" t="s">
        <v>668</v>
      </c>
    </row>
    <row r="955" spans="1:4" hidden="1" x14ac:dyDescent="0.45">
      <c r="A955" t="str">
        <f>HYPERLINK("https://leetcode.com/problems/next-greater-element-iii", "556. Next Greater Element III")</f>
        <v>556. Next Greater Element III</v>
      </c>
      <c r="B955" t="s">
        <v>7</v>
      </c>
      <c r="C955" t="s">
        <v>669</v>
      </c>
      <c r="D955" t="s">
        <v>670</v>
      </c>
    </row>
    <row r="956" spans="1:4" hidden="1" x14ac:dyDescent="0.45">
      <c r="A956" t="str">
        <f>HYPERLINK("https://leetcode.com/problems/subtree-of-another-tree", "572. Subtree of Another Tree")</f>
        <v>572. Subtree of Another Tree</v>
      </c>
      <c r="B956" t="s">
        <v>4</v>
      </c>
      <c r="C956" t="s">
        <v>570</v>
      </c>
      <c r="D956" t="s">
        <v>670</v>
      </c>
    </row>
    <row r="957" spans="1:4" hidden="1" x14ac:dyDescent="0.45">
      <c r="A957" t="str">
        <f>HYPERLINK("https://leetcode.com/problems/design-in-memory-file-system", "588. Design In-Memory File System")</f>
        <v>588. Design In-Memory File System</v>
      </c>
      <c r="B957" t="s">
        <v>12</v>
      </c>
      <c r="C957" t="s">
        <v>671</v>
      </c>
      <c r="D957" t="s">
        <v>672</v>
      </c>
    </row>
    <row r="958" spans="1:4" hidden="1" x14ac:dyDescent="0.45">
      <c r="A958" t="str">
        <f>HYPERLINK("https://leetcode.com/problems/custom-sort-string", "791. Custom Sort String")</f>
        <v>791. Custom Sort String</v>
      </c>
      <c r="B958" t="s">
        <v>7</v>
      </c>
      <c r="C958" t="s">
        <v>673</v>
      </c>
      <c r="D958" t="s">
        <v>674</v>
      </c>
    </row>
    <row r="959" spans="1:4" hidden="1" x14ac:dyDescent="0.45">
      <c r="A959" t="str">
        <f>HYPERLINK("https://leetcode.com/problems/minimum-add-to-make-parentheses-valid", "921. Minimum Add to Make Parentheses Valid")</f>
        <v>921. Minimum Add to Make Parentheses Valid</v>
      </c>
      <c r="B959" t="s">
        <v>7</v>
      </c>
      <c r="C959" t="s">
        <v>527</v>
      </c>
      <c r="D959" t="s">
        <v>674</v>
      </c>
    </row>
    <row r="960" spans="1:4" hidden="1" x14ac:dyDescent="0.45">
      <c r="A960" t="str">
        <f>HYPERLINK("https://leetcode.com/problems/reorder-data-in-log-files", "937. Reorder Data in Log Files")</f>
        <v>937. Reorder Data in Log Files</v>
      </c>
      <c r="B960" t="s">
        <v>7</v>
      </c>
      <c r="C960" t="s">
        <v>263</v>
      </c>
      <c r="D960" t="s">
        <v>663</v>
      </c>
    </row>
    <row r="961" spans="1:4" hidden="1" x14ac:dyDescent="0.45">
      <c r="A961" t="str">
        <f>HYPERLINK("https://leetcode.com/problems/path-crossing", "1496. Path Crossing")</f>
        <v>1496. Path Crossing</v>
      </c>
      <c r="B961" t="s">
        <v>4</v>
      </c>
      <c r="C961" t="s">
        <v>58</v>
      </c>
      <c r="D961" t="s">
        <v>663</v>
      </c>
    </row>
    <row r="962" spans="1:4" hidden="1" x14ac:dyDescent="0.45">
      <c r="A962" t="str">
        <f>HYPERLINK("https://leetcode.com/problems/design-parking-system", "1603. Design Parking System")</f>
        <v>1603. Design Parking System</v>
      </c>
      <c r="B962" t="s">
        <v>4</v>
      </c>
      <c r="C962" t="s">
        <v>529</v>
      </c>
      <c r="D962" t="s">
        <v>670</v>
      </c>
    </row>
    <row r="963" spans="1:4" hidden="1" x14ac:dyDescent="0.45">
      <c r="A963" t="str">
        <f>HYPERLINK("https://leetcode.com/problems/top-k-frequent-words", "692. Top K Frequent Words")</f>
        <v>692. Top K Frequent Words</v>
      </c>
      <c r="B963" t="s">
        <v>7</v>
      </c>
      <c r="C963" t="s">
        <v>32</v>
      </c>
      <c r="D963" t="s">
        <v>675</v>
      </c>
    </row>
    <row r="964" spans="1:4" hidden="1" x14ac:dyDescent="0.45">
      <c r="A964" t="str">
        <f>HYPERLINK("https://leetcode.com/problems/reorder-routes-to-make-all-paths-lead-to-the-city-zero", "1466. Reorder Routes to Make All Paths Lead to the City Zero")</f>
        <v>1466. Reorder Routes to Make All Paths Lead to the City Zero</v>
      </c>
      <c r="B964" t="s">
        <v>7</v>
      </c>
      <c r="C964" t="s">
        <v>608</v>
      </c>
      <c r="D964" t="s">
        <v>664</v>
      </c>
    </row>
    <row r="965" spans="1:4" hidden="1" x14ac:dyDescent="0.45">
      <c r="A965" t="str">
        <f>HYPERLINK("https://leetcode.com/problems/compare-version-numbers", "165. Compare Version Numbers")</f>
        <v>165. Compare Version Numbers</v>
      </c>
      <c r="B965" t="s">
        <v>7</v>
      </c>
      <c r="C965" t="s">
        <v>577</v>
      </c>
      <c r="D965" t="s">
        <v>676</v>
      </c>
    </row>
    <row r="966" spans="1:4" hidden="1" x14ac:dyDescent="0.45">
      <c r="A966" t="str">
        <f>HYPERLINK("https://leetcode.com/problems/best-time-to-buy-and-sell-stock-with-transaction-fee", "714. Best Time to Buy and Sell Stock with Transaction Fee")</f>
        <v>714. Best Time to Buy and Sell Stock with Transaction Fee</v>
      </c>
      <c r="B966" t="s">
        <v>7</v>
      </c>
      <c r="C966" t="s">
        <v>445</v>
      </c>
      <c r="D966" t="s">
        <v>676</v>
      </c>
    </row>
    <row r="967" spans="1:4" hidden="1" x14ac:dyDescent="0.45">
      <c r="A967" t="str">
        <f>HYPERLINK("https://leetcode.com/problems/first-unique-number", "1429. First Unique Number")</f>
        <v>1429. First Unique Number</v>
      </c>
      <c r="B967" t="s">
        <v>7</v>
      </c>
      <c r="C967" t="s">
        <v>413</v>
      </c>
      <c r="D967" t="s">
        <v>663</v>
      </c>
    </row>
    <row r="968" spans="1:4" hidden="1" x14ac:dyDescent="0.45">
      <c r="A968" t="str">
        <f>HYPERLINK("https://leetcode.com/problems/find-triangular-sum-of-an-array", "2221. Find Triangular Sum of an Array")</f>
        <v>2221. Find Triangular Sum of an Array</v>
      </c>
      <c r="B968" t="s">
        <v>7</v>
      </c>
      <c r="C968" t="s">
        <v>230</v>
      </c>
      <c r="D968" t="s">
        <v>663</v>
      </c>
    </row>
    <row r="969" spans="1:4" hidden="1" x14ac:dyDescent="0.45">
      <c r="A969" t="str">
        <f>HYPERLINK("https://leetcode.com/problems/lowest-common-ancestor-of-a-binary-tree-iv", "1676. Lowest Common Ancestor of a Binary Tree IV")</f>
        <v>1676. Lowest Common Ancestor of a Binary Tree IV</v>
      </c>
      <c r="B969" t="s">
        <v>7</v>
      </c>
      <c r="C969" t="s">
        <v>51</v>
      </c>
      <c r="D969" t="s">
        <v>663</v>
      </c>
    </row>
    <row r="970" spans="1:4" hidden="1" x14ac:dyDescent="0.45">
      <c r="A970" t="str">
        <f>HYPERLINK("https://leetcode.com/problems/minimum-health-to-beat-game", "2214. Minimum Health to Beat Game")</f>
        <v>2214. Minimum Health to Beat Game</v>
      </c>
      <c r="B970" t="s">
        <v>7</v>
      </c>
      <c r="C970" t="s">
        <v>181</v>
      </c>
      <c r="D970" t="s">
        <v>663</v>
      </c>
    </row>
    <row r="971" spans="1:4" hidden="1" x14ac:dyDescent="0.45">
      <c r="A971" t="str">
        <f>HYPERLINK("https://leetcode.com/problems/substring-with-largest-variance", "2272. Substring With Largest Variance")</f>
        <v>2272. Substring With Largest Variance</v>
      </c>
      <c r="B971" t="s">
        <v>12</v>
      </c>
      <c r="C971" t="s">
        <v>90</v>
      </c>
      <c r="D971" t="s">
        <v>663</v>
      </c>
    </row>
    <row r="972" spans="1:4" hidden="1" x14ac:dyDescent="0.45">
      <c r="A972" t="str">
        <f>HYPERLINK("https://leetcode.com/problems/find-longest-self-contained-substring", "3104. Find Longest Self-Contained Substring")</f>
        <v>3104. Find Longest Self-Contained Substring</v>
      </c>
      <c r="B972" t="s">
        <v>12</v>
      </c>
      <c r="C972" t="s">
        <v>32</v>
      </c>
      <c r="D972" t="s">
        <v>663</v>
      </c>
    </row>
    <row r="973" spans="1:4" hidden="1" x14ac:dyDescent="0.45">
      <c r="A973" t="str">
        <f>HYPERLINK("https://leetcode.com/problems/make-string-a-subsequence-using-cyclic-increments", "2825. Make String a Subsequence Using Cyclic Increments")</f>
        <v>2825. Make String a Subsequence Using Cyclic Increments</v>
      </c>
      <c r="B973" t="s">
        <v>7</v>
      </c>
      <c r="C973" t="s">
        <v>427</v>
      </c>
      <c r="D973" t="s">
        <v>663</v>
      </c>
    </row>
    <row r="974" spans="1:4" hidden="1" x14ac:dyDescent="0.45">
      <c r="A974" t="str">
        <f>HYPERLINK("https://leetcode.com/problems/regions-cut-by-slashes", "959. Regions Cut By Slashes")</f>
        <v>959. Regions Cut By Slashes</v>
      </c>
      <c r="B974" t="s">
        <v>7</v>
      </c>
      <c r="C974" t="s">
        <v>526</v>
      </c>
      <c r="D974" t="s">
        <v>663</v>
      </c>
    </row>
    <row r="975" spans="1:4" hidden="1" x14ac:dyDescent="0.45">
      <c r="A975" t="str">
        <f>HYPERLINK("https://leetcode.com/problems/ugly-number-ii", "264. Ugly Number II")</f>
        <v>264. Ugly Number II</v>
      </c>
      <c r="B975" t="s">
        <v>7</v>
      </c>
      <c r="C975" t="s">
        <v>103</v>
      </c>
      <c r="D975" t="s">
        <v>663</v>
      </c>
    </row>
    <row r="976" spans="1:4" hidden="1" x14ac:dyDescent="0.45">
      <c r="A976" t="str">
        <f>HYPERLINK("https://leetcode.com/problems/find-the-closest-palindrome", "564. Find the Closest Palindrome")</f>
        <v>564. Find the Closest Palindrome</v>
      </c>
      <c r="B976" t="s">
        <v>12</v>
      </c>
      <c r="C976" t="s">
        <v>677</v>
      </c>
      <c r="D976" t="s">
        <v>672</v>
      </c>
    </row>
    <row r="977" spans="1:4" hidden="1" x14ac:dyDescent="0.45">
      <c r="A977" t="str">
        <f>HYPERLINK("https://leetcode.com/problems/valid-tic-tac-toe-state", "794. Valid Tic-Tac-Toe State")</f>
        <v>794. Valid Tic-Tac-Toe State</v>
      </c>
      <c r="B977" t="s">
        <v>7</v>
      </c>
      <c r="C977" t="s">
        <v>260</v>
      </c>
      <c r="D977" t="s">
        <v>663</v>
      </c>
    </row>
    <row r="978" spans="1:4" hidden="1" x14ac:dyDescent="0.45">
      <c r="A978" t="str">
        <f>HYPERLINK("https://leetcode.com/problems/different-ways-to-add-parentheses", "241. Different Ways to Add Parentheses")</f>
        <v>241. Different Ways to Add Parentheses</v>
      </c>
      <c r="B978" t="s">
        <v>7</v>
      </c>
      <c r="C978" t="s">
        <v>622</v>
      </c>
      <c r="D978" t="s">
        <v>663</v>
      </c>
    </row>
    <row r="979" spans="1:4" hidden="1" x14ac:dyDescent="0.45">
      <c r="A979" t="str">
        <f>HYPERLINK("https://leetcode.com/problems/nearest-exit-from-entrance-in-maze", "1926. Nearest Exit from Entrance in Maze")</f>
        <v>1926. Nearest Exit from Entrance in Maze</v>
      </c>
      <c r="B979" t="s">
        <v>7</v>
      </c>
      <c r="C979" t="s">
        <v>166</v>
      </c>
      <c r="D979" t="s">
        <v>670</v>
      </c>
    </row>
    <row r="980" spans="1:4" hidden="1" x14ac:dyDescent="0.45">
      <c r="A980" t="str">
        <f>HYPERLINK("https://leetcode.com/problems/magnetic-force-between-two-balls", "1552. Magnetic Force Between Two Balls")</f>
        <v>1552. Magnetic Force Between Two Balls</v>
      </c>
      <c r="B980" t="s">
        <v>7</v>
      </c>
      <c r="C980" t="s">
        <v>213</v>
      </c>
      <c r="D980" t="s">
        <v>663</v>
      </c>
    </row>
    <row r="981" spans="1:4" hidden="1" x14ac:dyDescent="0.45">
      <c r="A981" t="str">
        <f>HYPERLINK("https://leetcode.com/problems/strong-password-checker", "420. Strong Password Checker")</f>
        <v>420. Strong Password Checker</v>
      </c>
      <c r="B981" t="s">
        <v>12</v>
      </c>
      <c r="C981" t="s">
        <v>678</v>
      </c>
      <c r="D981" t="s">
        <v>663</v>
      </c>
    </row>
    <row r="982" spans="1:4" hidden="1" x14ac:dyDescent="0.45">
      <c r="A982" t="str">
        <f>HYPERLINK("https://leetcode.com/problems/unique-binary-search-trees-ii", "95. Unique Binary Search Trees II")</f>
        <v>95. Unique Binary Search Trees II</v>
      </c>
      <c r="B982" t="s">
        <v>7</v>
      </c>
      <c r="C982" t="s">
        <v>280</v>
      </c>
      <c r="D982" t="s">
        <v>670</v>
      </c>
    </row>
    <row r="983" spans="1:4" hidden="1" x14ac:dyDescent="0.45">
      <c r="A983" t="str">
        <f>HYPERLINK("https://leetcode.com/problems/design-circular-queue", "622. Design Circular Queue")</f>
        <v>622. Design Circular Queue</v>
      </c>
      <c r="B983" t="s">
        <v>7</v>
      </c>
      <c r="C983" t="s">
        <v>182</v>
      </c>
      <c r="D983" t="s">
        <v>679</v>
      </c>
    </row>
    <row r="984" spans="1:4" hidden="1" x14ac:dyDescent="0.45">
      <c r="A984" t="str">
        <f>HYPERLINK("https://leetcode.com/problems/check-if-array-pairs-are-divisible-by-k", "1497. Check If Array Pairs Are Divisible by k")</f>
        <v>1497. Check If Array Pairs Are Divisible by k</v>
      </c>
      <c r="B984" t="s">
        <v>7</v>
      </c>
      <c r="C984" t="s">
        <v>320</v>
      </c>
      <c r="D984" t="s">
        <v>663</v>
      </c>
    </row>
    <row r="985" spans="1:4" hidden="1" x14ac:dyDescent="0.45">
      <c r="A985" t="str">
        <f>HYPERLINK("https://leetcode.com/problems/minimum-number-of-refueling-stops", "871. Minimum Number of Refueling Stops")</f>
        <v>871. Minimum Number of Refueling Stops</v>
      </c>
      <c r="B985" t="s">
        <v>12</v>
      </c>
      <c r="C985" t="s">
        <v>329</v>
      </c>
      <c r="D985" t="s">
        <v>663</v>
      </c>
    </row>
    <row r="986" spans="1:4" hidden="1" x14ac:dyDescent="0.45">
      <c r="A986" t="str">
        <f>HYPERLINK("https://leetcode.com/problems/frog-jump", "403. Frog Jump")</f>
        <v>403. Frog Jump</v>
      </c>
      <c r="B986" t="s">
        <v>12</v>
      </c>
      <c r="C986" t="s">
        <v>680</v>
      </c>
      <c r="D986" t="s">
        <v>663</v>
      </c>
    </row>
    <row r="987" spans="1:4" hidden="1" x14ac:dyDescent="0.45">
      <c r="A987" t="str">
        <f>HYPERLINK("https://leetcode.com/problems/binary-search-tree-iterator", "173. Binary Search Tree Iterator")</f>
        <v>173. Binary Search Tree Iterator</v>
      </c>
      <c r="B987" t="s">
        <v>7</v>
      </c>
      <c r="C987" t="s">
        <v>433</v>
      </c>
      <c r="D987" t="s">
        <v>659</v>
      </c>
    </row>
    <row r="988" spans="1:4" hidden="1" x14ac:dyDescent="0.45">
      <c r="A988" t="str">
        <f>HYPERLINK("https://leetcode.com/problems/interleaving-string", "97. Interleaving String")</f>
        <v>97. Interleaving String</v>
      </c>
      <c r="B988" t="s">
        <v>7</v>
      </c>
      <c r="C988" t="s">
        <v>681</v>
      </c>
      <c r="D988" t="s">
        <v>664</v>
      </c>
    </row>
    <row r="989" spans="1:4" hidden="1" x14ac:dyDescent="0.45">
      <c r="A989" t="str">
        <f>HYPERLINK("https://leetcode.com/problems/rearrange-string-k-distance-apart", "358. Rearrange String k Distance Apart")</f>
        <v>358. Rearrange String k Distance Apart</v>
      </c>
      <c r="B989" t="s">
        <v>12</v>
      </c>
      <c r="C989" t="s">
        <v>561</v>
      </c>
      <c r="D989" t="s">
        <v>663</v>
      </c>
    </row>
    <row r="990" spans="1:4" hidden="1" x14ac:dyDescent="0.45">
      <c r="A990" t="str">
        <f>HYPERLINK("https://leetcode.com/problems/count-of-range-sum", "327. Count of Range Sum")</f>
        <v>327. Count of Range Sum</v>
      </c>
      <c r="B990" t="s">
        <v>12</v>
      </c>
      <c r="C990" t="s">
        <v>682</v>
      </c>
      <c r="D990" t="s">
        <v>663</v>
      </c>
    </row>
    <row r="991" spans="1:4" hidden="1" x14ac:dyDescent="0.45">
      <c r="A991" t="str">
        <f>HYPERLINK("https://leetcode.com/problems/find-kth-bit-in-nth-binary-string", "1545. Find Kth Bit in Nth Binary String")</f>
        <v>1545. Find Kth Bit in Nth Binary String</v>
      </c>
      <c r="B991" t="s">
        <v>7</v>
      </c>
      <c r="C991" t="s">
        <v>459</v>
      </c>
      <c r="D991" t="s">
        <v>670</v>
      </c>
    </row>
    <row r="992" spans="1:4" hidden="1" x14ac:dyDescent="0.45">
      <c r="A992" t="str">
        <f>HYPERLINK("https://leetcode.com/problems/minimum-subsequence-in-non-increasing-order", "1403. Minimum Subsequence in Non-Increasing Order")</f>
        <v>1403. Minimum Subsequence in Non-Increasing Order</v>
      </c>
      <c r="B992" t="s">
        <v>4</v>
      </c>
      <c r="C992" t="s">
        <v>683</v>
      </c>
      <c r="D992" t="s">
        <v>663</v>
      </c>
    </row>
    <row r="993" spans="1:4" hidden="1" x14ac:dyDescent="0.45">
      <c r="A993" t="str">
        <f>HYPERLINK("https://leetcode.com/problems/verifying-an-alien-dictionary", "953. Verifying an Alien Dictionary")</f>
        <v>953. Verifying an Alien Dictionary</v>
      </c>
      <c r="B993" t="s">
        <v>4</v>
      </c>
      <c r="C993" t="s">
        <v>242</v>
      </c>
      <c r="D993" t="s">
        <v>670</v>
      </c>
    </row>
    <row r="994" spans="1:4" hidden="1" x14ac:dyDescent="0.45">
      <c r="A994" t="str">
        <f>HYPERLINK("https://leetcode.com/problems/intersection-of-two-arrays-ii", "350. Intersection of Two Arrays II")</f>
        <v>350. Intersection of Two Arrays II</v>
      </c>
      <c r="B994" t="s">
        <v>4</v>
      </c>
      <c r="C994" t="s">
        <v>113</v>
      </c>
      <c r="D994" t="s">
        <v>674</v>
      </c>
    </row>
    <row r="995" spans="1:4" hidden="1" x14ac:dyDescent="0.45">
      <c r="A995" t="str">
        <f>HYPERLINK("https://leetcode.com/problems/trips-and-users", "262. Trips and Users")</f>
        <v>262. Trips and Users</v>
      </c>
      <c r="B995" t="s">
        <v>12</v>
      </c>
      <c r="C995" t="s">
        <v>101</v>
      </c>
      <c r="D995" t="s">
        <v>663</v>
      </c>
    </row>
    <row r="996" spans="1:4" hidden="1" x14ac:dyDescent="0.45">
      <c r="A996" t="str">
        <f>HYPERLINK("https://leetcode.com/problems/prime-subtraction-operation", "2601. Prime Subtraction Operation")</f>
        <v>2601. Prime Subtraction Operation</v>
      </c>
      <c r="B996" t="s">
        <v>7</v>
      </c>
      <c r="C996" t="s">
        <v>293</v>
      </c>
      <c r="D996" t="s">
        <v>664</v>
      </c>
    </row>
    <row r="997" spans="1:4" hidden="1" x14ac:dyDescent="0.45">
      <c r="A997" t="str">
        <f>HYPERLINK("https://leetcode.com/problems/number-of-sub-arrays-of-size-k-and-average-greater-than-or-equal-to-threshold", "1343. Number of Sub-arrays of Size K and Average Greater than or Equal to Threshold")</f>
        <v>1343. Number of Sub-arrays of Size K and Average Greater than or Equal to Threshold</v>
      </c>
      <c r="B997" t="s">
        <v>7</v>
      </c>
      <c r="C997" t="s">
        <v>684</v>
      </c>
      <c r="D997" t="s">
        <v>663</v>
      </c>
    </row>
    <row r="998" spans="1:4" hidden="1" x14ac:dyDescent="0.45">
      <c r="A998" t="str">
        <f>HYPERLINK("https://leetcode.com/problems/dot-product-of-two-sparse-vectors", "1570. Dot Product of Two Sparse Vectors")</f>
        <v>1570. Dot Product of Two Sparse Vectors</v>
      </c>
      <c r="B998" t="s">
        <v>7</v>
      </c>
      <c r="C998" t="s">
        <v>583</v>
      </c>
      <c r="D998" t="s">
        <v>685</v>
      </c>
    </row>
    <row r="999" spans="1:4" hidden="1" x14ac:dyDescent="0.45">
      <c r="A999" t="str">
        <f>HYPERLINK("https://leetcode.com/problems/maximum-frequency-stack", "895. Maximum Frequency Stack")</f>
        <v>895. Maximum Frequency Stack</v>
      </c>
      <c r="B999" t="s">
        <v>12</v>
      </c>
      <c r="C999" t="s">
        <v>127</v>
      </c>
      <c r="D999" t="s">
        <v>686</v>
      </c>
    </row>
    <row r="1000" spans="1:4" hidden="1" x14ac:dyDescent="0.45">
      <c r="A1000" t="str">
        <f>HYPERLINK("https://leetcode.com/problems/the-most-recent-orders-for-each-product", "1549. The Most Recent Orders for Each Product")</f>
        <v>1549. The Most Recent Orders for Each Product</v>
      </c>
      <c r="B1000" t="s">
        <v>7</v>
      </c>
      <c r="C1000" t="s">
        <v>608</v>
      </c>
      <c r="D1000" t="s">
        <v>663</v>
      </c>
    </row>
    <row r="1001" spans="1:4" hidden="1" x14ac:dyDescent="0.45">
      <c r="A1001" t="str">
        <f>HYPERLINK("https://leetcode.com/problems/shortest-word-distance", "243. Shortest Word Distance")</f>
        <v>243. Shortest Word Distance</v>
      </c>
      <c r="B1001" t="s">
        <v>4</v>
      </c>
      <c r="C1001" t="s">
        <v>468</v>
      </c>
      <c r="D1001" t="s">
        <v>687</v>
      </c>
    </row>
    <row r="1002" spans="1:4" hidden="1" x14ac:dyDescent="0.45">
      <c r="A1002" t="str">
        <f>HYPERLINK("https://leetcode.com/problems/design-file-system", "1166. Design File System")</f>
        <v>1166. Design File System</v>
      </c>
      <c r="B1002" t="s">
        <v>7</v>
      </c>
      <c r="C1002" t="s">
        <v>688</v>
      </c>
      <c r="D1002" t="s">
        <v>663</v>
      </c>
    </row>
    <row r="1003" spans="1:4" hidden="1" x14ac:dyDescent="0.45">
      <c r="A1003" t="str">
        <f>HYPERLINK("https://leetcode.com/problems/minimum-operations-to-make-a-subsequence", "1713. Minimum Operations to Make a Subsequence")</f>
        <v>1713. Minimum Operations to Make a Subsequence</v>
      </c>
      <c r="B1003" t="s">
        <v>12</v>
      </c>
      <c r="C1003" t="s">
        <v>227</v>
      </c>
      <c r="D1003" t="s">
        <v>663</v>
      </c>
    </row>
    <row r="1004" spans="1:4" hidden="1" x14ac:dyDescent="0.45">
      <c r="A1004" t="str">
        <f>HYPERLINK("https://leetcode.com/problems/minimum-difference-in-sums-after-removal-of-elements", "2163. Minimum Difference in Sums After Removal of Elements")</f>
        <v>2163. Minimum Difference in Sums After Removal of Elements</v>
      </c>
      <c r="B1004" t="s">
        <v>12</v>
      </c>
      <c r="C1004" t="s">
        <v>630</v>
      </c>
      <c r="D1004" t="s">
        <v>663</v>
      </c>
    </row>
    <row r="1005" spans="1:4" hidden="1" x14ac:dyDescent="0.45">
      <c r="A1005" t="str">
        <f>HYPERLINK("https://leetcode.com/problems/design-an-array-statistics-tracker", "3369. Design an Array Statistics Tracker")</f>
        <v>3369. Design an Array Statistics Tracker</v>
      </c>
      <c r="B1005" t="s">
        <v>12</v>
      </c>
      <c r="C1005" t="s">
        <v>421</v>
      </c>
      <c r="D1005" t="s">
        <v>663</v>
      </c>
    </row>
    <row r="1006" spans="1:4" hidden="1" x14ac:dyDescent="0.45">
      <c r="A1006" t="str">
        <f>HYPERLINK("https://leetcode.com/problems/minimum-array-sum", "3366. Minimum Array Sum")</f>
        <v>3366. Minimum Array Sum</v>
      </c>
      <c r="B1006" t="s">
        <v>7</v>
      </c>
      <c r="C1006" t="s">
        <v>563</v>
      </c>
      <c r="D1006" t="s">
        <v>663</v>
      </c>
    </row>
    <row r="1007" spans="1:4" hidden="1" x14ac:dyDescent="0.45">
      <c r="A1007" t="str">
        <f>HYPERLINK("https://leetcode.com/problems/populating-next-right-pointers-in-each-node-ii", "117. Populating Next Right Pointers in Each Node II")</f>
        <v>117. Populating Next Right Pointers in Each Node II</v>
      </c>
      <c r="B1007" t="s">
        <v>7</v>
      </c>
      <c r="C1007" t="s">
        <v>413</v>
      </c>
      <c r="D1007" t="s">
        <v>689</v>
      </c>
    </row>
    <row r="1008" spans="1:4" hidden="1" x14ac:dyDescent="0.45">
      <c r="A1008" t="str">
        <f>HYPERLINK("https://leetcode.com/problems/the-most-frequently-ordered-products-for-each-customer", "1596. The Most Frequently Ordered Products for Each Customer")</f>
        <v>1596. The Most Frequently Ordered Products for Each Customer</v>
      </c>
      <c r="B1008" t="s">
        <v>7</v>
      </c>
      <c r="C1008" t="s">
        <v>394</v>
      </c>
      <c r="D1008" t="s">
        <v>663</v>
      </c>
    </row>
    <row r="1009" spans="1:4" hidden="1" x14ac:dyDescent="0.45">
      <c r="A1009" t="str">
        <f>HYPERLINK("https://leetcode.com/problems/allocate-mailboxes", "1478. Allocate Mailboxes")</f>
        <v>1478. Allocate Mailboxes</v>
      </c>
      <c r="B1009" t="s">
        <v>12</v>
      </c>
      <c r="C1009" t="s">
        <v>360</v>
      </c>
      <c r="D1009" t="s">
        <v>663</v>
      </c>
    </row>
    <row r="1010" spans="1:4" hidden="1" x14ac:dyDescent="0.45">
      <c r="A1010" t="str">
        <f>HYPERLINK("https://leetcode.com/problems/wiggle-sort-ii", "324. Wiggle Sort II")</f>
        <v>324. Wiggle Sort II</v>
      </c>
      <c r="B1010" t="s">
        <v>7</v>
      </c>
      <c r="C1010" t="s">
        <v>537</v>
      </c>
      <c r="D1010" t="s">
        <v>663</v>
      </c>
    </row>
    <row r="1011" spans="1:4" hidden="1" x14ac:dyDescent="0.45">
      <c r="A1011" t="str">
        <f>HYPERLINK("https://leetcode.com/problems/kth-smallest-element-in-a-sorted-matrix", "378. Kth Smallest Element in a Sorted Matrix")</f>
        <v>378. Kth Smallest Element in a Sorted Matrix</v>
      </c>
      <c r="B1011" t="s">
        <v>7</v>
      </c>
      <c r="C1011" t="s">
        <v>70</v>
      </c>
      <c r="D1011" t="s">
        <v>665</v>
      </c>
    </row>
    <row r="1012" spans="1:4" hidden="1" x14ac:dyDescent="0.45">
      <c r="A1012" t="str">
        <f>HYPERLINK("https://leetcode.com/problems/design-underground-system", "1396. Design Underground System")</f>
        <v>1396. Design Underground System</v>
      </c>
      <c r="B1012" t="s">
        <v>7</v>
      </c>
      <c r="C1012" t="s">
        <v>425</v>
      </c>
      <c r="D1012" t="s">
        <v>667</v>
      </c>
    </row>
    <row r="1013" spans="1:4" hidden="1" x14ac:dyDescent="0.45">
      <c r="A1013" t="str">
        <f>HYPERLINK("https://leetcode.com/problems/minimum-cost-to-connect-sticks", "1167. Minimum Cost to Connect Sticks")</f>
        <v>1167. Minimum Cost to Connect Sticks</v>
      </c>
      <c r="B1013" t="s">
        <v>7</v>
      </c>
      <c r="C1013" t="s">
        <v>690</v>
      </c>
      <c r="D1013" t="s">
        <v>663</v>
      </c>
    </row>
    <row r="1014" spans="1:4" hidden="1" x14ac:dyDescent="0.45">
      <c r="A1014" t="str">
        <f>HYPERLINK("https://leetcode.com/problems/maximum-number-of-k-divisible-components", "2872. Maximum Number of K-Divisible Components")</f>
        <v>2872. Maximum Number of K-Divisible Components</v>
      </c>
      <c r="B1014" t="s">
        <v>12</v>
      </c>
      <c r="C1014" t="s">
        <v>525</v>
      </c>
      <c r="D1014" t="s">
        <v>663</v>
      </c>
    </row>
    <row r="1015" spans="1:4" hidden="1" x14ac:dyDescent="0.45">
      <c r="A1015" t="str">
        <f>HYPERLINK("https://leetcode.com/problems/minimum-number-of-moves-to-make-palindrome", "2193. Minimum Number of Moves to Make Palindrome")</f>
        <v>2193. Minimum Number of Moves to Make Palindrome</v>
      </c>
      <c r="B1015" t="s">
        <v>12</v>
      </c>
      <c r="C1015" t="s">
        <v>356</v>
      </c>
      <c r="D1015" t="s">
        <v>663</v>
      </c>
    </row>
    <row r="1016" spans="1:4" hidden="1" x14ac:dyDescent="0.45">
      <c r="A1016" t="str">
        <f>HYPERLINK("https://leetcode.com/problems/valid-number", "65. Valid Number")</f>
        <v>65. Valid Number</v>
      </c>
      <c r="B1016" t="s">
        <v>12</v>
      </c>
      <c r="C1016" t="s">
        <v>691</v>
      </c>
      <c r="D1016" t="s">
        <v>661</v>
      </c>
    </row>
    <row r="1017" spans="1:4" hidden="1" x14ac:dyDescent="0.45">
      <c r="A1017" t="str">
        <f>HYPERLINK("https://leetcode.com/problems/substring-matching-pattern", "3407. Substring Matching Pattern")</f>
        <v>3407. Substring Matching Pattern</v>
      </c>
      <c r="B1017" t="s">
        <v>4</v>
      </c>
      <c r="C1017" t="s">
        <v>692</v>
      </c>
      <c r="D1017" t="s">
        <v>663</v>
      </c>
    </row>
    <row r="1018" spans="1:4" hidden="1" x14ac:dyDescent="0.45">
      <c r="A1018" t="str">
        <f>HYPERLINK("https://leetcode.com/problems/find-a-peak-element-ii", "1901. Find a Peak Element II")</f>
        <v>1901. Find a Peak Element II</v>
      </c>
      <c r="B1018" t="s">
        <v>7</v>
      </c>
      <c r="C1018" t="s">
        <v>223</v>
      </c>
      <c r="D1018" t="s">
        <v>663</v>
      </c>
    </row>
    <row r="1019" spans="1:4" hidden="1" x14ac:dyDescent="0.45">
      <c r="A1019" t="str">
        <f>HYPERLINK("https://leetcode.com/problems/rearrange-array-to-maximize-prefix-score", "2587. Rearrange Array to Maximize Prefix Score")</f>
        <v>2587. Rearrange Array to Maximize Prefix Score</v>
      </c>
      <c r="B1019" t="s">
        <v>7</v>
      </c>
      <c r="C1019" t="s">
        <v>693</v>
      </c>
      <c r="D1019" t="s">
        <v>663</v>
      </c>
    </row>
    <row r="1020" spans="1:4" hidden="1" x14ac:dyDescent="0.45">
      <c r="A1020" t="str">
        <f>HYPERLINK("https://leetcode.com/problems/rank-scores", "178. Rank Scores")</f>
        <v>178. Rank Scores</v>
      </c>
      <c r="B1020" t="s">
        <v>7</v>
      </c>
      <c r="C1020" t="s">
        <v>608</v>
      </c>
      <c r="D1020" t="s">
        <v>664</v>
      </c>
    </row>
    <row r="1021" spans="1:4" hidden="1" x14ac:dyDescent="0.45">
      <c r="A1021" t="str">
        <f>HYPERLINK("https://leetcode.com/problems/most-profit-assigning-work", "826. Most Profit Assigning Work")</f>
        <v>826. Most Profit Assigning Work</v>
      </c>
      <c r="B1021" t="s">
        <v>7</v>
      </c>
      <c r="C1021" t="s">
        <v>694</v>
      </c>
      <c r="D1021" t="s">
        <v>663</v>
      </c>
    </row>
    <row r="1022" spans="1:4" hidden="1" x14ac:dyDescent="0.45">
      <c r="A1022" t="str">
        <f>HYPERLINK("https://leetcode.com/problems/largest-element-in-an-array-after-merge-operations", "2789. Largest Element in an Array after Merge Operations")</f>
        <v>2789. Largest Element in an Array after Merge Operations</v>
      </c>
      <c r="B1022" t="s">
        <v>7</v>
      </c>
      <c r="C1022" t="s">
        <v>138</v>
      </c>
      <c r="D1022" t="s">
        <v>663</v>
      </c>
    </row>
    <row r="1023" spans="1:4" hidden="1" x14ac:dyDescent="0.45">
      <c r="A1023" t="str">
        <f>HYPERLINK("https://leetcode.com/problems/invalid-transactions", "1169. Invalid Transactions")</f>
        <v>1169. Invalid Transactions</v>
      </c>
      <c r="B1023" t="s">
        <v>7</v>
      </c>
      <c r="C1023" t="s">
        <v>524</v>
      </c>
      <c r="D1023" t="s">
        <v>695</v>
      </c>
    </row>
    <row r="1024" spans="1:4" hidden="1" x14ac:dyDescent="0.45">
      <c r="A1024" t="str">
        <f>HYPERLINK("https://leetcode.com/problems/delete-and-earn", "740. Delete and Earn")</f>
        <v>740. Delete and Earn</v>
      </c>
      <c r="B1024" t="s">
        <v>7</v>
      </c>
      <c r="C1024" t="s">
        <v>263</v>
      </c>
      <c r="D1024" t="s">
        <v>670</v>
      </c>
    </row>
    <row r="1025" spans="1:4" hidden="1" x14ac:dyDescent="0.45">
      <c r="A1025" t="str">
        <f>HYPERLINK("https://leetcode.com/problems/find-k-th-smallest-pair-distance", "719. Find K-th Smallest Pair Distance")</f>
        <v>719. Find K-th Smallest Pair Distance</v>
      </c>
      <c r="B1025" t="s">
        <v>12</v>
      </c>
      <c r="C1025" t="s">
        <v>388</v>
      </c>
      <c r="D1025" t="s">
        <v>663</v>
      </c>
    </row>
    <row r="1026" spans="1:4" hidden="1" x14ac:dyDescent="0.45">
      <c r="A1026" t="str">
        <f>HYPERLINK("https://leetcode.com/problems/sliding-window-median", "480. Sliding Window Median")</f>
        <v>480. Sliding Window Median</v>
      </c>
      <c r="B1026" t="s">
        <v>12</v>
      </c>
      <c r="C1026" t="s">
        <v>696</v>
      </c>
      <c r="D1026" t="s">
        <v>679</v>
      </c>
    </row>
    <row r="1027" spans="1:4" hidden="1" x14ac:dyDescent="0.45">
      <c r="A1027" t="str">
        <f>HYPERLINK("https://leetcode.com/problems/most-profitable-path-in-a-tree", "2467. Most Profitable Path in a Tree")</f>
        <v>2467. Most Profitable Path in a Tree</v>
      </c>
      <c r="B1027" t="s">
        <v>7</v>
      </c>
      <c r="C1027" t="s">
        <v>225</v>
      </c>
      <c r="D1027" t="s">
        <v>668</v>
      </c>
    </row>
    <row r="1028" spans="1:4" hidden="1" x14ac:dyDescent="0.45">
      <c r="A1028" t="str">
        <f>HYPERLINK("https://leetcode.com/problems/map-of-highest-peak", "1765. Map of Highest Peak")</f>
        <v>1765. Map of Highest Peak</v>
      </c>
      <c r="B1028" t="s">
        <v>7</v>
      </c>
      <c r="C1028" t="s">
        <v>232</v>
      </c>
      <c r="D1028" t="s">
        <v>663</v>
      </c>
    </row>
    <row r="1029" spans="1:4" hidden="1" x14ac:dyDescent="0.45">
      <c r="A1029" t="str">
        <f>HYPERLINK("https://leetcode.com/problems/department-top-three-salaries", "185. Department Top Three Salaries")</f>
        <v>185. Department Top Three Salaries</v>
      </c>
      <c r="B1029" t="s">
        <v>12</v>
      </c>
      <c r="C1029" t="s">
        <v>422</v>
      </c>
      <c r="D1029" t="s">
        <v>663</v>
      </c>
    </row>
    <row r="1030" spans="1:4" hidden="1" x14ac:dyDescent="0.45">
      <c r="A1030" t="str">
        <f>HYPERLINK("https://leetcode.com/problems/reach-a-number", "754. Reach a Number")</f>
        <v>754. Reach a Number</v>
      </c>
      <c r="B1030" t="s">
        <v>7</v>
      </c>
      <c r="C1030" t="s">
        <v>331</v>
      </c>
      <c r="D1030" t="s">
        <v>663</v>
      </c>
    </row>
    <row r="1031" spans="1:4" hidden="1" x14ac:dyDescent="0.45">
      <c r="A1031" t="str">
        <f>HYPERLINK("https://leetcode.com/problems/rectangle-overlap", "836. Rectangle Overlap")</f>
        <v>836. Rectangle Overlap</v>
      </c>
      <c r="B1031" t="s">
        <v>4</v>
      </c>
      <c r="C1031" t="s">
        <v>697</v>
      </c>
      <c r="D1031" t="s">
        <v>664</v>
      </c>
    </row>
    <row r="1032" spans="1:4" hidden="1" x14ac:dyDescent="0.45">
      <c r="A1032" t="str">
        <f>HYPERLINK("https://leetcode.com/problems/element-appearing-more-than-25%-in-sorted-array", "1287. Element Appearing More Than 25% In Sorted Array")</f>
        <v>1287. Element Appearing More Than 25% In Sorted Array</v>
      </c>
      <c r="B1032" t="s">
        <v>4</v>
      </c>
      <c r="C1032" t="s">
        <v>373</v>
      </c>
      <c r="D1032" t="s">
        <v>670</v>
      </c>
    </row>
    <row r="1033" spans="1:4" hidden="1" x14ac:dyDescent="0.45">
      <c r="A1033" t="str">
        <f>HYPERLINK("https://leetcode.com/problems/maximum-number-of-books-you-can-take", "2355. Maximum Number of Books You Can Take")</f>
        <v>2355. Maximum Number of Books You Can Take</v>
      </c>
      <c r="B1033" t="s">
        <v>12</v>
      </c>
      <c r="C1033" t="s">
        <v>561</v>
      </c>
      <c r="D1033" t="s">
        <v>663</v>
      </c>
    </row>
    <row r="1034" spans="1:4" hidden="1" x14ac:dyDescent="0.45">
      <c r="A1034" t="str">
        <f>HYPERLINK("https://leetcode.com/problems/design-a-text-editor", "2296. Design a Text Editor")</f>
        <v>2296. Design a Text Editor</v>
      </c>
      <c r="B1034" t="s">
        <v>12</v>
      </c>
      <c r="C1034" t="s">
        <v>344</v>
      </c>
      <c r="D1034" t="s">
        <v>663</v>
      </c>
    </row>
    <row r="1035" spans="1:4" hidden="1" x14ac:dyDescent="0.45">
      <c r="A1035" t="str">
        <f>HYPERLINK("https://leetcode.com/problems/even-odd-tree", "1609. Even Odd Tree")</f>
        <v>1609. Even Odd Tree</v>
      </c>
      <c r="B1035" t="s">
        <v>7</v>
      </c>
      <c r="C1035" t="s">
        <v>123</v>
      </c>
      <c r="D1035" t="s">
        <v>667</v>
      </c>
    </row>
    <row r="1036" spans="1:4" hidden="1" x14ac:dyDescent="0.45">
      <c r="A1036" t="str">
        <f>HYPERLINK("https://leetcode.com/problems/minimum-swaps-to-group-all-1's-together-ii", "2134. Minimum Swaps to Group All 1's Together II")</f>
        <v>2134. Minimum Swaps to Group All 1's Together II</v>
      </c>
      <c r="B1036" t="s">
        <v>7</v>
      </c>
      <c r="C1036" t="s">
        <v>299</v>
      </c>
      <c r="D1036" t="s">
        <v>663</v>
      </c>
    </row>
    <row r="1037" spans="1:4" hidden="1" x14ac:dyDescent="0.45">
      <c r="A1037" t="str">
        <f>HYPERLINK("https://leetcode.com/problems/minimum-number-of-operations-to-make-array-empty", "2870. Minimum Number of Operations to Make Array Empty")</f>
        <v>2870. Minimum Number of Operations to Make Array Empty</v>
      </c>
      <c r="B1037" t="s">
        <v>7</v>
      </c>
      <c r="C1037" t="s">
        <v>105</v>
      </c>
      <c r="D1037" t="s">
        <v>663</v>
      </c>
    </row>
    <row r="1038" spans="1:4" hidden="1" x14ac:dyDescent="0.45">
      <c r="A1038" t="str">
        <f>HYPERLINK("https://leetcode.com/problems/apply-operations-to-make-all-array-elements-equal-to-zero", "2772. Apply Operations to Make All Array Elements Equal to Zero")</f>
        <v>2772. Apply Operations to Make All Array Elements Equal to Zero</v>
      </c>
      <c r="B1038" t="s">
        <v>7</v>
      </c>
      <c r="C1038" t="s">
        <v>596</v>
      </c>
      <c r="D1038" t="s">
        <v>663</v>
      </c>
    </row>
    <row r="1039" spans="1:4" hidden="1" x14ac:dyDescent="0.45">
      <c r="A1039" t="str">
        <f>HYPERLINK("https://leetcode.com/problems/remove-one-element-to-make-the-array-strictly-increasing", "1909. Remove One Element to Make the Array Strictly Increasing")</f>
        <v>1909. Remove One Element to Make the Array Strictly Increasing</v>
      </c>
      <c r="B1039" t="s">
        <v>4</v>
      </c>
      <c r="C1039" t="s">
        <v>512</v>
      </c>
      <c r="D1039" t="s">
        <v>663</v>
      </c>
    </row>
    <row r="1040" spans="1:4" hidden="1" x14ac:dyDescent="0.45">
      <c r="A1040" t="str">
        <f>HYPERLINK("https://leetcode.com/problems/maximum-units-on-a-truck", "1710. Maximum Units on a Truck")</f>
        <v>1710. Maximum Units on a Truck</v>
      </c>
      <c r="B1040" t="s">
        <v>4</v>
      </c>
      <c r="C1040" t="s">
        <v>355</v>
      </c>
      <c r="D1040" t="s">
        <v>666</v>
      </c>
    </row>
    <row r="1041" spans="1:4" hidden="1" x14ac:dyDescent="0.45">
      <c r="A1041" t="str">
        <f>HYPERLINK("https://leetcode.com/problems/max-chunks-to-make-sorted-ii", "768. Max Chunks To Make Sorted II")</f>
        <v>768. Max Chunks To Make Sorted II</v>
      </c>
      <c r="B1041" t="s">
        <v>12</v>
      </c>
      <c r="C1041" t="s">
        <v>305</v>
      </c>
      <c r="D1041" t="s">
        <v>663</v>
      </c>
    </row>
    <row r="1042" spans="1:4" hidden="1" x14ac:dyDescent="0.45">
      <c r="A1042" t="str">
        <f>HYPERLINK("https://leetcode.com/problems/number-of-subarrays-with-bounded-maximum", "795. Number of Subarrays with Bounded Maximum")</f>
        <v>795. Number of Subarrays with Bounded Maximum</v>
      </c>
      <c r="B1042" t="s">
        <v>7</v>
      </c>
      <c r="C1042" t="s">
        <v>497</v>
      </c>
      <c r="D1042" t="s">
        <v>663</v>
      </c>
    </row>
    <row r="1043" spans="1:4" hidden="1" x14ac:dyDescent="0.45">
      <c r="A1043" t="str">
        <f>HYPERLINK("https://leetcode.com/problems/buildings-with-an-ocean-view", "1762. Buildings With an Ocean View")</f>
        <v>1762. Buildings With an Ocean View</v>
      </c>
      <c r="B1043" t="s">
        <v>7</v>
      </c>
      <c r="C1043" t="s">
        <v>613</v>
      </c>
      <c r="D1043" t="s">
        <v>670</v>
      </c>
    </row>
    <row r="1044" spans="1:4" hidden="1" x14ac:dyDescent="0.45">
      <c r="A1044" t="str">
        <f>HYPERLINK("https://leetcode.com/problems/paint-house-iv", "3429. Paint House IV")</f>
        <v>3429. Paint House IV</v>
      </c>
      <c r="B1044" t="s">
        <v>7</v>
      </c>
      <c r="C1044" t="s">
        <v>520</v>
      </c>
      <c r="D1044" t="s">
        <v>667</v>
      </c>
    </row>
    <row r="1045" spans="1:4" hidden="1" x14ac:dyDescent="0.45">
      <c r="A1045" t="str">
        <f>HYPERLINK("https://leetcode.com/problems/trim-a-binary-search-tree", "669. Trim a Binary Search Tree")</f>
        <v>669. Trim a Binary Search Tree</v>
      </c>
      <c r="B1045" t="s">
        <v>7</v>
      </c>
      <c r="C1045" t="s">
        <v>506</v>
      </c>
      <c r="D1045" t="s">
        <v>663</v>
      </c>
    </row>
    <row r="1046" spans="1:4" hidden="1" x14ac:dyDescent="0.45">
      <c r="A1046" t="str">
        <f>HYPERLINK("https://leetcode.com/problems/best-poker-hand", "2347. Best Poker Hand")</f>
        <v>2347. Best Poker Hand</v>
      </c>
      <c r="B1046" t="s">
        <v>4</v>
      </c>
      <c r="C1046" t="s">
        <v>278</v>
      </c>
      <c r="D1046" t="s">
        <v>698</v>
      </c>
    </row>
    <row r="1047" spans="1:4" hidden="1" x14ac:dyDescent="0.45">
      <c r="A1047" t="str">
        <f>HYPERLINK("https://leetcode.com/problems/number-of-matching-subsequences", "792. Number of Matching Subsequences")</f>
        <v>792. Number of Matching Subsequences</v>
      </c>
      <c r="B1047" t="s">
        <v>7</v>
      </c>
      <c r="C1047" t="s">
        <v>396</v>
      </c>
      <c r="D1047" t="s">
        <v>663</v>
      </c>
    </row>
    <row r="1048" spans="1:4" hidden="1" x14ac:dyDescent="0.45">
      <c r="A1048" t="str">
        <f>HYPERLINK("https://leetcode.com/problems/maximum-performance-of-a-team", "1383. Maximum Performance of a Team")</f>
        <v>1383. Maximum Performance of a Team</v>
      </c>
      <c r="B1048" t="s">
        <v>12</v>
      </c>
      <c r="C1048" t="s">
        <v>167</v>
      </c>
      <c r="D1048" t="s">
        <v>663</v>
      </c>
    </row>
    <row r="1049" spans="1:4" hidden="1" x14ac:dyDescent="0.45">
      <c r="A1049" t="str">
        <f>HYPERLINK("https://leetcode.com/problems/successful-pairs-of-spells-and-potions", "2300. Successful Pairs of Spells and Potions")</f>
        <v>2300. Successful Pairs of Spells and Potions</v>
      </c>
      <c r="B1049" t="s">
        <v>7</v>
      </c>
      <c r="C1049" t="s">
        <v>81</v>
      </c>
      <c r="D1049" t="s">
        <v>663</v>
      </c>
    </row>
    <row r="1050" spans="1:4" hidden="1" x14ac:dyDescent="0.45">
      <c r="A1050" t="str">
        <f>HYPERLINK("https://leetcode.com/problems/jump-game-iv", "1345. Jump Game IV")</f>
        <v>1345. Jump Game IV</v>
      </c>
      <c r="B1050" t="s">
        <v>12</v>
      </c>
      <c r="C1050" t="s">
        <v>194</v>
      </c>
      <c r="D1050" t="s">
        <v>663</v>
      </c>
    </row>
    <row r="1051" spans="1:4" hidden="1" x14ac:dyDescent="0.45">
      <c r="A1051" t="str">
        <f>HYPERLINK("https://leetcode.com/problems/maximum-tastiness-of-candy-basket", "2517. Maximum Tastiness of Candy Basket")</f>
        <v>2517. Maximum Tastiness of Candy Basket</v>
      </c>
      <c r="B1051" t="s">
        <v>7</v>
      </c>
      <c r="C1051" t="s">
        <v>427</v>
      </c>
      <c r="D1051" t="s">
        <v>663</v>
      </c>
    </row>
    <row r="1052" spans="1:4" hidden="1" x14ac:dyDescent="0.45">
      <c r="A1052" t="str">
        <f>HYPERLINK("https://leetcode.com/problems/diagonal-traverse", "498. Diagonal Traverse")</f>
        <v>498. Diagonal Traverse</v>
      </c>
      <c r="B1052" t="s">
        <v>7</v>
      </c>
      <c r="C1052" t="s">
        <v>699</v>
      </c>
      <c r="D1052" t="s">
        <v>700</v>
      </c>
    </row>
    <row r="1053" spans="1:4" hidden="1" x14ac:dyDescent="0.45">
      <c r="A1053" t="str">
        <f>HYPERLINK("https://leetcode.com/problems/valid-mountain-array", "941. Valid Mountain Array")</f>
        <v>941. Valid Mountain Array</v>
      </c>
      <c r="B1053" t="s">
        <v>4</v>
      </c>
      <c r="C1053" t="s">
        <v>701</v>
      </c>
      <c r="D1053" t="s">
        <v>670</v>
      </c>
    </row>
    <row r="1054" spans="1:4" hidden="1" x14ac:dyDescent="0.45">
      <c r="A1054" t="str">
        <f>HYPERLINK("https://leetcode.com/problems/maximum-good-subarray-sum", "3026. Maximum Good Subarray Sum")</f>
        <v>3026. Maximum Good Subarray Sum</v>
      </c>
      <c r="B1054" t="s">
        <v>7</v>
      </c>
      <c r="C1054" t="s">
        <v>702</v>
      </c>
      <c r="D1054" t="s">
        <v>663</v>
      </c>
    </row>
    <row r="1055" spans="1:4" hidden="1" x14ac:dyDescent="0.45">
      <c r="A1055" t="str">
        <f>HYPERLINK("https://leetcode.com/problems/angle-between-hands-of-a-clock", "1344. Angle Between Hands of a Clock")</f>
        <v>1344. Angle Between Hands of a Clock</v>
      </c>
      <c r="B1055" t="s">
        <v>7</v>
      </c>
      <c r="C1055" t="s">
        <v>513</v>
      </c>
      <c r="D1055" t="s">
        <v>659</v>
      </c>
    </row>
    <row r="1056" spans="1:4" hidden="1" x14ac:dyDescent="0.45">
      <c r="A1056" t="str">
        <f>HYPERLINK("https://leetcode.com/problems/minimum-score-of-a-path-between-two-cities", "2492. Minimum Score of a Path Between Two Cities")</f>
        <v>2492. Minimum Score of a Path Between Two Cities</v>
      </c>
      <c r="B1056" t="s">
        <v>7</v>
      </c>
      <c r="C1056" t="s">
        <v>703</v>
      </c>
      <c r="D1056" t="s">
        <v>663</v>
      </c>
    </row>
    <row r="1057" spans="1:4" hidden="1" x14ac:dyDescent="0.45">
      <c r="A1057" t="str">
        <f>HYPERLINK("https://leetcode.com/problems/maximum-number-of-groups-with-increasing-length", "2790. Maximum Number of Groups With Increasing Length")</f>
        <v>2790. Maximum Number of Groups With Increasing Length</v>
      </c>
      <c r="B1057" t="s">
        <v>12</v>
      </c>
      <c r="C1057" t="s">
        <v>704</v>
      </c>
      <c r="D1057" t="s">
        <v>663</v>
      </c>
    </row>
    <row r="1058" spans="1:4" hidden="1" x14ac:dyDescent="0.45">
      <c r="A1058" t="str">
        <f>HYPERLINK("https://leetcode.com/problems/all-paths-from-source-to-target", "797. All Paths From Source to Target")</f>
        <v>797. All Paths From Source to Target</v>
      </c>
      <c r="B1058" t="s">
        <v>7</v>
      </c>
      <c r="C1058" t="s">
        <v>705</v>
      </c>
      <c r="D1058" t="s">
        <v>667</v>
      </c>
    </row>
    <row r="1059" spans="1:4" hidden="1" x14ac:dyDescent="0.45">
      <c r="A1059" t="str">
        <f>HYPERLINK("https://leetcode.com/problems/sum-of-left-leaves", "404. Sum of Left Leaves")</f>
        <v>404. Sum of Left Leaves</v>
      </c>
      <c r="B1059" t="s">
        <v>4</v>
      </c>
      <c r="C1059" t="s">
        <v>488</v>
      </c>
      <c r="D1059" t="s">
        <v>663</v>
      </c>
    </row>
    <row r="1060" spans="1:4" hidden="1" x14ac:dyDescent="0.45">
      <c r="A1060" t="str">
        <f>HYPERLINK("https://leetcode.com/problems/max-stack", "716. Max Stack")</f>
        <v>716. Max Stack</v>
      </c>
      <c r="B1060" t="s">
        <v>12</v>
      </c>
      <c r="C1060" t="s">
        <v>399</v>
      </c>
      <c r="D1060" t="s">
        <v>706</v>
      </c>
    </row>
    <row r="1061" spans="1:4" hidden="1" x14ac:dyDescent="0.45">
      <c r="A1061" t="str">
        <f>HYPERLINK("https://leetcode.com/problems/maximum-number-of-vowels-in-a-substring-of-given-length", "1456. Maximum Number of Vowels in a Substring of Given Length")</f>
        <v>1456. Maximum Number of Vowels in a Substring of Given Length</v>
      </c>
      <c r="B1061" t="s">
        <v>7</v>
      </c>
      <c r="C1061" t="s">
        <v>657</v>
      </c>
      <c r="D1061" t="s">
        <v>663</v>
      </c>
    </row>
    <row r="1062" spans="1:4" hidden="1" x14ac:dyDescent="0.45">
      <c r="A1062" t="str">
        <f>HYPERLINK("https://leetcode.com/problems/shortest-matching-substring", "3455. Shortest Matching Substring")</f>
        <v>3455. Shortest Matching Substring</v>
      </c>
      <c r="B1062" t="s">
        <v>12</v>
      </c>
      <c r="C1062" t="s">
        <v>707</v>
      </c>
      <c r="D1062" t="s">
        <v>663</v>
      </c>
    </row>
    <row r="1063" spans="1:4" hidden="1" x14ac:dyDescent="0.45">
      <c r="A1063" t="str">
        <f>HYPERLINK("https://leetcode.com/problems/length-of-longest-v-shaped-diagonal-segment", "3459. Length of Longest V-Shaped Diagonal Segment")</f>
        <v>3459. Length of Longest V-Shaped Diagonal Segment</v>
      </c>
      <c r="B1063" t="s">
        <v>12</v>
      </c>
      <c r="C1063" t="s">
        <v>708</v>
      </c>
      <c r="D1063" t="s">
        <v>663</v>
      </c>
    </row>
    <row r="1064" spans="1:4" hidden="1" x14ac:dyDescent="0.45">
      <c r="A1064" t="str">
        <f>HYPERLINK("https://leetcode.com/problems/number-of-students-unable-to-eat-lunch", "1700. Number of Students Unable to Eat Lunch")</f>
        <v>1700. Number of Students Unable to Eat Lunch</v>
      </c>
      <c r="B1064" t="s">
        <v>4</v>
      </c>
      <c r="C1064" t="s">
        <v>310</v>
      </c>
      <c r="D1064" t="s">
        <v>663</v>
      </c>
    </row>
    <row r="1065" spans="1:4" hidden="1" x14ac:dyDescent="0.45">
      <c r="A1065" t="str">
        <f>HYPERLINK("https://leetcode.com/problems/unique-binary-search-trees", "96. Unique Binary Search Trees")</f>
        <v>96. Unique Binary Search Trees</v>
      </c>
      <c r="B1065" t="s">
        <v>7</v>
      </c>
      <c r="C1065" t="s">
        <v>357</v>
      </c>
      <c r="D1065" t="s">
        <v>670</v>
      </c>
    </row>
    <row r="1066" spans="1:4" hidden="1" x14ac:dyDescent="0.45">
      <c r="A1066" t="str">
        <f>HYPERLINK("https://leetcode.com/problems/check-if-matrix-is-x-matrix", "2319. Check if Matrix Is X-Matrix")</f>
        <v>2319. Check if Matrix Is X-Matrix</v>
      </c>
      <c r="B1066" t="s">
        <v>4</v>
      </c>
      <c r="C1066" t="s">
        <v>297</v>
      </c>
      <c r="D1066" t="s">
        <v>663</v>
      </c>
    </row>
    <row r="1067" spans="1:4" hidden="1" x14ac:dyDescent="0.45">
      <c r="A1067" t="str">
        <f>HYPERLINK("https://leetcode.com/problems/minimum-number-of-operations-to-make-array-xor-equal-to-k", "2997. Minimum Number of Operations to Make Array XOR Equal to K")</f>
        <v>2997. Minimum Number of Operations to Make Array XOR Equal to K</v>
      </c>
      <c r="B1067" t="s">
        <v>7</v>
      </c>
      <c r="C1067" t="s">
        <v>709</v>
      </c>
      <c r="D1067" t="s">
        <v>663</v>
      </c>
    </row>
    <row r="1068" spans="1:4" hidden="1" x14ac:dyDescent="0.45">
      <c r="A1068" t="str">
        <f>HYPERLINK("https://leetcode.com/problems/shopping-offers", "638. Shopping Offers")</f>
        <v>638. Shopping Offers</v>
      </c>
      <c r="B1068" t="s">
        <v>7</v>
      </c>
      <c r="C1068" t="s">
        <v>356</v>
      </c>
      <c r="D1068" t="s">
        <v>710</v>
      </c>
    </row>
    <row r="1069" spans="1:4" hidden="1" x14ac:dyDescent="0.45">
      <c r="A1069" t="str">
        <f>HYPERLINK("https://leetcode.com/problems/find-elements-in-a-contaminated-binary-tree", "1261. Find Elements in a Contaminated Binary Tree")</f>
        <v>1261. Find Elements in a Contaminated Binary Tree</v>
      </c>
      <c r="B1069" t="s">
        <v>7</v>
      </c>
      <c r="C1069" t="s">
        <v>576</v>
      </c>
      <c r="D1069" t="s">
        <v>663</v>
      </c>
    </row>
    <row r="1070" spans="1:4" hidden="1" x14ac:dyDescent="0.45">
      <c r="A1070" t="str">
        <f>HYPERLINK("https://leetcode.com/problems/select-k-disjoint-special-substrings", "3458. Select K Disjoint Special Substrings")</f>
        <v>3458. Select K Disjoint Special Substrings</v>
      </c>
      <c r="B1070" t="s">
        <v>7</v>
      </c>
      <c r="C1070" t="s">
        <v>711</v>
      </c>
      <c r="D1070" t="s">
        <v>663</v>
      </c>
    </row>
    <row r="1071" spans="1:4" hidden="1" x14ac:dyDescent="0.45">
      <c r="A1071" t="str">
        <f>HYPERLINK("https://leetcode.com/problems/maximum-sum-with-at-most-k-elements", "3462. Maximum Sum With at Most K Elements")</f>
        <v>3462. Maximum Sum With at Most K Elements</v>
      </c>
      <c r="B1071" t="s">
        <v>7</v>
      </c>
      <c r="C1071" t="s">
        <v>712</v>
      </c>
      <c r="D1071" t="s">
        <v>663</v>
      </c>
    </row>
    <row r="1072" spans="1:4" hidden="1" x14ac:dyDescent="0.45">
      <c r="A1072" t="str">
        <f>HYPERLINK("https://leetcode.com/problems/check-if-digits-are-equal-in-string-after-operations-i", "3461. Check If Digits Are Equal in String After Operations I")</f>
        <v>3461. Check If Digits Are Equal in String After Operations I</v>
      </c>
      <c r="B1072" t="s">
        <v>4</v>
      </c>
      <c r="C1072" t="s">
        <v>564</v>
      </c>
      <c r="D1072" t="s">
        <v>663</v>
      </c>
    </row>
    <row r="1073" spans="1:4" hidden="1" x14ac:dyDescent="0.45">
      <c r="A1073" t="str">
        <f>HYPERLINK("https://leetcode.com/problems/separate-squares-ii", "3454. Separate Squares II")</f>
        <v>3454. Separate Squares II</v>
      </c>
      <c r="B1073" t="s">
        <v>12</v>
      </c>
      <c r="C1073" t="s">
        <v>713</v>
      </c>
      <c r="D1073" t="s">
        <v>663</v>
      </c>
    </row>
    <row r="1074" spans="1:4" hidden="1" x14ac:dyDescent="0.45">
      <c r="A1074" t="str">
        <f>HYPERLINK("https://leetcode.com/problems/triangle-judgement", "610. Triangle Judgement")</f>
        <v>610. Triangle Judgement</v>
      </c>
      <c r="B1074" t="s">
        <v>4</v>
      </c>
      <c r="C1074" t="s">
        <v>714</v>
      </c>
      <c r="D1074" t="s">
        <v>663</v>
      </c>
    </row>
    <row r="1075" spans="1:4" hidden="1" x14ac:dyDescent="0.45">
      <c r="A1075" t="str">
        <f>HYPERLINK("https://leetcode.com/problems/number-of-employees-who-met-the-target", "2798. Number of Employees Who Met the Target")</f>
        <v>2798. Number of Employees Who Met the Target</v>
      </c>
      <c r="B1075" t="s">
        <v>4</v>
      </c>
      <c r="C1075" t="s">
        <v>715</v>
      </c>
      <c r="D1075" t="s">
        <v>663</v>
      </c>
    </row>
    <row r="1076" spans="1:4" hidden="1" x14ac:dyDescent="0.45">
      <c r="A1076" t="str">
        <f>HYPERLINK("https://leetcode.com/problems/excel-sheet-column-number", "171. Excel Sheet Column Number")</f>
        <v>171. Excel Sheet Column Number</v>
      </c>
      <c r="B1076" t="s">
        <v>4</v>
      </c>
      <c r="C1076" t="s">
        <v>297</v>
      </c>
      <c r="D1076" t="s">
        <v>664</v>
      </c>
    </row>
    <row r="1077" spans="1:4" hidden="1" x14ac:dyDescent="0.45">
      <c r="A1077" t="str">
        <f>HYPERLINK("https://leetcode.com/problems/kth-ancestor-of-a-tree-node", "1483. Kth Ancestor of a Tree Node")</f>
        <v>1483. Kth Ancestor of a Tree Node</v>
      </c>
      <c r="B1077" t="s">
        <v>12</v>
      </c>
      <c r="C1077" t="s">
        <v>8</v>
      </c>
      <c r="D1077" t="s">
        <v>663</v>
      </c>
    </row>
    <row r="1078" spans="1:4" hidden="1" x14ac:dyDescent="0.45">
      <c r="A1078" t="str">
        <f>HYPERLINK("https://leetcode.com/problems/dinner-plate-stacks", "1172. Dinner Plate Stacks")</f>
        <v>1172. Dinner Plate Stacks</v>
      </c>
      <c r="B1078" t="s">
        <v>12</v>
      </c>
      <c r="C1078" t="s">
        <v>533</v>
      </c>
      <c r="D1078" t="s">
        <v>663</v>
      </c>
    </row>
    <row r="1079" spans="1:4" hidden="1" x14ac:dyDescent="0.45">
      <c r="A1079" t="str">
        <f>HYPERLINK("https://leetcode.com/problems/closest-prime-numbers-in-range", "2523. Closest Prime Numbers in Range")</f>
        <v>2523. Closest Prime Numbers in Range</v>
      </c>
      <c r="B1079" t="s">
        <v>7</v>
      </c>
      <c r="C1079" t="s">
        <v>573</v>
      </c>
      <c r="D1079" t="s">
        <v>674</v>
      </c>
    </row>
    <row r="1080" spans="1:4" hidden="1" x14ac:dyDescent="0.45">
      <c r="A1080" t="str">
        <f>HYPERLINK("https://leetcode.com/problems/beautiful-arrangement", "526. Beautiful Arrangement")</f>
        <v>526. Beautiful Arrangement</v>
      </c>
      <c r="B1080" t="s">
        <v>7</v>
      </c>
      <c r="C1080" t="s">
        <v>457</v>
      </c>
      <c r="D1080" t="s">
        <v>663</v>
      </c>
    </row>
    <row r="1081" spans="1:4" hidden="1" x14ac:dyDescent="0.45">
      <c r="A1081" t="str">
        <f>HYPERLINK("https://leetcode.com/problems/last-stone-weight", "1046. Last Stone Weight")</f>
        <v>1046. Last Stone Weight</v>
      </c>
      <c r="B1081" t="s">
        <v>4</v>
      </c>
      <c r="C1081" t="s">
        <v>358</v>
      </c>
      <c r="D1081" t="s">
        <v>664</v>
      </c>
    </row>
    <row r="1082" spans="1:4" hidden="1" x14ac:dyDescent="0.45">
      <c r="A1082" t="str">
        <f>HYPERLINK("https://leetcode.com/problems/minimum-knight-moves", "1197. Minimum Knight Moves")</f>
        <v>1197. Minimum Knight Moves</v>
      </c>
      <c r="B1082" t="s">
        <v>7</v>
      </c>
      <c r="C1082" t="s">
        <v>693</v>
      </c>
      <c r="D1082" t="s">
        <v>670</v>
      </c>
    </row>
    <row r="1083" spans="1:4" hidden="1" x14ac:dyDescent="0.45">
      <c r="A1083" t="str">
        <f>HYPERLINK("https://leetcode.com/problems/split-a-string-in-balanced-strings", "1221. Split a String in Balanced Strings")</f>
        <v>1221. Split a String in Balanced Strings</v>
      </c>
      <c r="B1083" t="s">
        <v>4</v>
      </c>
      <c r="C1083" t="s">
        <v>511</v>
      </c>
      <c r="D1083" t="s">
        <v>716</v>
      </c>
    </row>
    <row r="1084" spans="1:4" hidden="1" x14ac:dyDescent="0.45">
      <c r="A1084" t="str">
        <f>HYPERLINK("https://leetcode.com/problems/minimum-difference-between-highest-and-lowest-of-k-scores", "1984. Minimum Difference Between Highest and Lowest of K Scores")</f>
        <v>1984. Minimum Difference Between Highest and Lowest of K Scores</v>
      </c>
      <c r="B1084" t="s">
        <v>4</v>
      </c>
      <c r="C1084" t="s">
        <v>493</v>
      </c>
      <c r="D1084" t="s">
        <v>663</v>
      </c>
    </row>
    <row r="1085" spans="1:4" hidden="1" x14ac:dyDescent="0.45">
      <c r="A1085" t="str">
        <f>HYPERLINK("https://leetcode.com/problems/design-snake-game", "353. Design Snake Game")</f>
        <v>353. Design Snake Game</v>
      </c>
      <c r="B1085" t="s">
        <v>7</v>
      </c>
      <c r="C1085" t="s">
        <v>407</v>
      </c>
      <c r="D1085" t="s">
        <v>717</v>
      </c>
    </row>
    <row r="1086" spans="1:4" hidden="1" x14ac:dyDescent="0.45">
      <c r="A1086" t="str">
        <f>HYPERLINK("https://leetcode.com/problems/valid-phone-numbers", "193. Valid Phone Numbers")</f>
        <v>193. Valid Phone Numbers</v>
      </c>
      <c r="B1086" t="s">
        <v>4</v>
      </c>
      <c r="C1086" t="s">
        <v>456</v>
      </c>
      <c r="D1086" t="s">
        <v>670</v>
      </c>
    </row>
    <row r="1087" spans="1:4" hidden="1" x14ac:dyDescent="0.45">
      <c r="A1087" t="str">
        <f>HYPERLINK("https://leetcode.com/problems/zigzag-iterator", "281. Zigzag Iterator")</f>
        <v>281. Zigzag Iterator</v>
      </c>
      <c r="B1087" t="s">
        <v>7</v>
      </c>
      <c r="C1087" t="s">
        <v>297</v>
      </c>
      <c r="D1087" t="s">
        <v>663</v>
      </c>
    </row>
    <row r="1088" spans="1:4" hidden="1" x14ac:dyDescent="0.45">
      <c r="A1088" t="str">
        <f>HYPERLINK("https://leetcode.com/problems/count-unique-characters-of-all-substrings-of-a-given-string", "828. Count Unique Characters of All Substrings of a Given String")</f>
        <v>828. Count Unique Characters of All Substrings of a Given String</v>
      </c>
      <c r="B1088" t="s">
        <v>12</v>
      </c>
      <c r="C1088" t="s">
        <v>374</v>
      </c>
      <c r="D1088" t="s">
        <v>663</v>
      </c>
    </row>
    <row r="1089" spans="1:4" hidden="1" x14ac:dyDescent="0.45">
      <c r="A1089" t="str">
        <f>HYPERLINK("https://leetcode.com/problems/least-number-of-unique-integers-after-k-removals", "1481. Least Number of Unique Integers after K Removals")</f>
        <v>1481. Least Number of Unique Integers after K Removals</v>
      </c>
      <c r="B1089" t="s">
        <v>7</v>
      </c>
      <c r="C1089" t="s">
        <v>601</v>
      </c>
      <c r="D1089" t="s">
        <v>716</v>
      </c>
    </row>
    <row r="1090" spans="1:4" hidden="1" x14ac:dyDescent="0.45">
      <c r="A1090" t="str">
        <f>HYPERLINK("https://leetcode.com/problems/count-palindromic-subsequences", "2484. Count Palindromic Subsequences")</f>
        <v>2484. Count Palindromic Subsequences</v>
      </c>
      <c r="B1090" t="s">
        <v>12</v>
      </c>
      <c r="C1090" t="s">
        <v>562</v>
      </c>
      <c r="D1090" t="s">
        <v>672</v>
      </c>
    </row>
    <row r="1091" spans="1:4" hidden="1" x14ac:dyDescent="0.45">
      <c r="A1091" t="str">
        <f>HYPERLINK("https://leetcode.com/problems/grumpy-bookstore-owner", "1052. Grumpy Bookstore Owner")</f>
        <v>1052. Grumpy Bookstore Owner</v>
      </c>
      <c r="B1091" t="s">
        <v>7</v>
      </c>
      <c r="C1091" t="s">
        <v>513</v>
      </c>
      <c r="D1091" t="s">
        <v>663</v>
      </c>
    </row>
    <row r="1092" spans="1:4" hidden="1" x14ac:dyDescent="0.45">
      <c r="A1092" t="str">
        <f>HYPERLINK("https://leetcode.com/problems/ipo", "502. IPO")</f>
        <v>502. IPO</v>
      </c>
      <c r="B1092" t="s">
        <v>12</v>
      </c>
      <c r="C1092" t="s">
        <v>718</v>
      </c>
      <c r="D1092" t="s">
        <v>664</v>
      </c>
    </row>
    <row r="1093" spans="1:4" hidden="1" x14ac:dyDescent="0.45">
      <c r="A1093" t="str">
        <f>HYPERLINK("https://leetcode.com/problems/super-egg-drop", "887. Super Egg Drop")</f>
        <v>887. Super Egg Drop</v>
      </c>
      <c r="B1093" t="s">
        <v>12</v>
      </c>
      <c r="C1093" t="s">
        <v>512</v>
      </c>
      <c r="D1093" t="s">
        <v>663</v>
      </c>
    </row>
    <row r="1094" spans="1:4" hidden="1" x14ac:dyDescent="0.45">
      <c r="A1094" t="str">
        <f>HYPERLINK("https://leetcode.com/problems/find-the-kth-smallest-sum-of-a-matrix-with-sorted-rows", "1439. Find the Kth Smallest Sum of a Matrix With Sorted Rows")</f>
        <v>1439. Find the Kth Smallest Sum of a Matrix With Sorted Rows</v>
      </c>
      <c r="B1094" t="s">
        <v>12</v>
      </c>
      <c r="C1094" t="s">
        <v>141</v>
      </c>
      <c r="D1094" t="s">
        <v>663</v>
      </c>
    </row>
    <row r="1095" spans="1:4" hidden="1" x14ac:dyDescent="0.45">
      <c r="A1095" t="str">
        <f>HYPERLINK("https://leetcode.com/problems/next-palindrome-using-same-digits", "1842. Next Palindrome Using Same Digits")</f>
        <v>1842. Next Palindrome Using Same Digits</v>
      </c>
      <c r="B1095" t="s">
        <v>12</v>
      </c>
      <c r="C1095" t="s">
        <v>719</v>
      </c>
      <c r="D1095" t="s">
        <v>663</v>
      </c>
    </row>
    <row r="1096" spans="1:4" hidden="1" x14ac:dyDescent="0.45">
      <c r="A1096" t="str">
        <f>HYPERLINK("https://leetcode.com/problems/number-of-atoms", "726. Number of Atoms")</f>
        <v>726. Number of Atoms</v>
      </c>
      <c r="B1096" t="s">
        <v>12</v>
      </c>
      <c r="C1096" t="s">
        <v>418</v>
      </c>
      <c r="D1096" t="s">
        <v>663</v>
      </c>
    </row>
    <row r="1097" spans="1:4" hidden="1" x14ac:dyDescent="0.45">
      <c r="A1097" t="str">
        <f>HYPERLINK("https://leetcode.com/problems/tree-diameter", "1245. Tree Diameter")</f>
        <v>1245. Tree Diameter</v>
      </c>
      <c r="B1097" t="s">
        <v>7</v>
      </c>
      <c r="C1097" t="s">
        <v>373</v>
      </c>
      <c r="D1097" t="s">
        <v>670</v>
      </c>
    </row>
    <row r="1098" spans="1:4" hidden="1" x14ac:dyDescent="0.45">
      <c r="A1098" t="str">
        <f>HYPERLINK("https://leetcode.com/problems/design-log-storage-system", "635. Design Log Storage System")</f>
        <v>635. Design Log Storage System</v>
      </c>
      <c r="B1098" t="s">
        <v>7</v>
      </c>
      <c r="C1098" t="s">
        <v>270</v>
      </c>
      <c r="D1098" t="s">
        <v>663</v>
      </c>
    </row>
    <row r="1099" spans="1:4" hidden="1" x14ac:dyDescent="0.45">
      <c r="A1099" t="str">
        <f>HYPERLINK("https://leetcode.com/problems/meeting-rooms", "252. Meeting Rooms")</f>
        <v>252. Meeting Rooms</v>
      </c>
      <c r="B1099" t="s">
        <v>4</v>
      </c>
      <c r="C1099" t="s">
        <v>591</v>
      </c>
      <c r="D1099" t="s">
        <v>670</v>
      </c>
    </row>
    <row r="1100" spans="1:4" hidden="1" x14ac:dyDescent="0.45">
      <c r="A1100" t="str">
        <f>HYPERLINK("https://leetcode.com/problems/minimum-operations-to-make-the-array-alternating", "2170. Minimum Operations to Make the Array Alternating")</f>
        <v>2170. Minimum Operations to Make the Array Alternating</v>
      </c>
      <c r="B1100" t="s">
        <v>7</v>
      </c>
      <c r="C1100" t="s">
        <v>720</v>
      </c>
      <c r="D1100" t="s">
        <v>663</v>
      </c>
    </row>
    <row r="1101" spans="1:4" hidden="1" x14ac:dyDescent="0.45">
      <c r="A1101" t="str">
        <f>HYPERLINK("https://leetcode.com/problems/minimum-cost-to-hire-k-workers", "857. Minimum Cost to Hire K Workers")</f>
        <v>857. Minimum Cost to Hire K Workers</v>
      </c>
      <c r="B1101" t="s">
        <v>12</v>
      </c>
      <c r="C1101" t="s">
        <v>70</v>
      </c>
      <c r="D1101" t="s">
        <v>663</v>
      </c>
    </row>
    <row r="1102" spans="1:4" hidden="1" x14ac:dyDescent="0.45">
      <c r="A1102" t="str">
        <f>HYPERLINK("https://leetcode.com/problems/stock-price-fluctuation", "2034. Stock Price Fluctuation")</f>
        <v>2034. Stock Price Fluctuation</v>
      </c>
      <c r="B1102" t="s">
        <v>7</v>
      </c>
      <c r="C1102" t="s">
        <v>220</v>
      </c>
      <c r="D1102" t="s">
        <v>721</v>
      </c>
    </row>
    <row r="1103" spans="1:4" hidden="1" x14ac:dyDescent="0.45">
      <c r="A1103" t="str">
        <f>HYPERLINK("https://leetcode.com/problems/maximum-score-of-non-overlapping-intervals", "3414. Maximum Score of Non-overlapping Intervals")</f>
        <v>3414. Maximum Score of Non-overlapping Intervals</v>
      </c>
      <c r="B1103" t="s">
        <v>12</v>
      </c>
      <c r="C1103" t="s">
        <v>722</v>
      </c>
      <c r="D1103" t="s">
        <v>663</v>
      </c>
    </row>
    <row r="1104" spans="1:4" hidden="1" x14ac:dyDescent="0.45">
      <c r="A1104" t="str">
        <f>HYPERLINK("https://leetcode.com/problems/maximum-number-of-removable-characters", "1898. Maximum Number of Removable Characters")</f>
        <v>1898. Maximum Number of Removable Characters</v>
      </c>
      <c r="B1104" t="s">
        <v>7</v>
      </c>
      <c r="C1104" t="s">
        <v>399</v>
      </c>
      <c r="D1104" t="s">
        <v>663</v>
      </c>
    </row>
    <row r="1105" spans="1:4" hidden="1" x14ac:dyDescent="0.45">
      <c r="A1105" t="str">
        <f>HYPERLINK("https://leetcode.com/problems/count-binary-substrings", "696. Count Binary Substrings")</f>
        <v>696. Count Binary Substrings</v>
      </c>
      <c r="B1105" t="s">
        <v>4</v>
      </c>
      <c r="C1105" t="s">
        <v>358</v>
      </c>
      <c r="D1105" t="s">
        <v>659</v>
      </c>
    </row>
    <row r="1106" spans="1:4" hidden="1" x14ac:dyDescent="0.45">
      <c r="A1106" t="str">
        <f>HYPERLINK("https://leetcode.com/problems/minimum-operations-to-make-all-array-elements-equal", "2602. Minimum Operations to Make All Array Elements Equal")</f>
        <v>2602. Minimum Operations to Make All Array Elements Equal</v>
      </c>
      <c r="B1106" t="s">
        <v>7</v>
      </c>
      <c r="C1106" t="s">
        <v>107</v>
      </c>
      <c r="D1106" t="s">
        <v>663</v>
      </c>
    </row>
    <row r="1107" spans="1:4" hidden="1" x14ac:dyDescent="0.45">
      <c r="A1107" t="str">
        <f>HYPERLINK("https://leetcode.com/problems/count-of-substrings-containing-every-vowel-and-k-consonants-ii", "3306. Count of Substrings Containing Every Vowel and K Consonants II")</f>
        <v>3306. Count of Substrings Containing Every Vowel and K Consonants II</v>
      </c>
      <c r="B1107" t="s">
        <v>7</v>
      </c>
      <c r="C1107" t="s">
        <v>471</v>
      </c>
      <c r="D1107" t="s">
        <v>663</v>
      </c>
    </row>
    <row r="1108" spans="1:4" hidden="1" x14ac:dyDescent="0.45">
      <c r="A1108" t="str">
        <f>HYPERLINK("https://leetcode.com/problems/number-of-unique-subjects-taught-by-each-teacher", "2356. Number of Unique Subjects Taught by Each Teacher")</f>
        <v>2356. Number of Unique Subjects Taught by Each Teacher</v>
      </c>
      <c r="B1108" t="s">
        <v>4</v>
      </c>
      <c r="C1108" t="s">
        <v>96</v>
      </c>
      <c r="D1108" t="s">
        <v>663</v>
      </c>
    </row>
    <row r="1109" spans="1:4" hidden="1" x14ac:dyDescent="0.45">
      <c r="A1109" t="str">
        <f>HYPERLINK("https://leetcode.com/problems/maximum-sum-of-two-non-overlapping-subarrays", "1031. Maximum Sum of Two Non-Overlapping Subarrays")</f>
        <v>1031. Maximum Sum of Two Non-Overlapping Subarrays</v>
      </c>
      <c r="B1109" t="s">
        <v>7</v>
      </c>
      <c r="C1109" t="s">
        <v>657</v>
      </c>
      <c r="D1109" t="s">
        <v>663</v>
      </c>
    </row>
    <row r="1110" spans="1:4" hidden="1" x14ac:dyDescent="0.45">
      <c r="A1110" t="str">
        <f>HYPERLINK("https://leetcode.com/problems/maximum-product-of-splitted-binary-tree", "1339. Maximum Product of Splitted Binary Tree")</f>
        <v>1339. Maximum Product of Splitted Binary Tree</v>
      </c>
      <c r="B1110" t="s">
        <v>7</v>
      </c>
      <c r="C1110" t="s">
        <v>344</v>
      </c>
      <c r="D1110" t="s">
        <v>663</v>
      </c>
    </row>
    <row r="1111" spans="1:4" hidden="1" x14ac:dyDescent="0.45">
      <c r="A1111" t="str">
        <f>HYPERLINK("https://leetcode.com/problems/as-far-from-land-as-possible", "1162. As Far from Land as Possible")</f>
        <v>1162. As Far from Land as Possible</v>
      </c>
      <c r="B1111" t="s">
        <v>7</v>
      </c>
      <c r="C1111" t="s">
        <v>356</v>
      </c>
      <c r="D1111" t="s">
        <v>663</v>
      </c>
    </row>
    <row r="1112" spans="1:4" hidden="1" x14ac:dyDescent="0.45">
      <c r="A1112" t="str">
        <f>HYPERLINK("https://leetcode.com/problems/remove-palindromic-subsequences", "1332. Remove Palindromic Subsequences")</f>
        <v>1332. Remove Palindromic Subsequences</v>
      </c>
      <c r="B1112" t="s">
        <v>4</v>
      </c>
      <c r="C1112" t="s">
        <v>723</v>
      </c>
      <c r="D1112" t="s">
        <v>663</v>
      </c>
    </row>
    <row r="1113" spans="1:4" hidden="1" x14ac:dyDescent="0.45">
      <c r="A1113" t="str">
        <f>HYPERLINK("https://leetcode.com/problems/water-bottles", "1518. Water Bottles")</f>
        <v>1518. Water Bottles</v>
      </c>
      <c r="B1113" t="s">
        <v>4</v>
      </c>
      <c r="C1113" t="s">
        <v>597</v>
      </c>
      <c r="D1113" t="s">
        <v>663</v>
      </c>
    </row>
    <row r="1114" spans="1:4" hidden="1" x14ac:dyDescent="0.45">
      <c r="A1114" t="str">
        <f>HYPERLINK("https://leetcode.com/problems/design-a-leaderboard", "1244. Design A Leaderboard")</f>
        <v>1244. Design A Leaderboard</v>
      </c>
      <c r="B1114" t="s">
        <v>7</v>
      </c>
      <c r="C1114" t="s">
        <v>387</v>
      </c>
      <c r="D1114" t="s">
        <v>667</v>
      </c>
    </row>
    <row r="1115" spans="1:4" hidden="1" x14ac:dyDescent="0.45">
      <c r="A1115" t="str">
        <f>HYPERLINK("https://leetcode.com/problems/find-minimum-time-to-finish-all-jobs", "1723. Find Minimum Time to Finish All Jobs")</f>
        <v>1723. Find Minimum Time to Finish All Jobs</v>
      </c>
      <c r="B1115" t="s">
        <v>12</v>
      </c>
      <c r="C1115" t="s">
        <v>390</v>
      </c>
      <c r="D1115" t="s">
        <v>663</v>
      </c>
    </row>
    <row r="1116" spans="1:4" hidden="1" x14ac:dyDescent="0.45">
      <c r="A1116" t="str">
        <f>HYPERLINK("https://leetcode.com/problems/island-perimeter", "463. Island Perimeter")</f>
        <v>463. Island Perimeter</v>
      </c>
      <c r="B1116" t="s">
        <v>4</v>
      </c>
      <c r="C1116" t="s">
        <v>714</v>
      </c>
      <c r="D1116" t="s">
        <v>724</v>
      </c>
    </row>
    <row r="1117" spans="1:4" hidden="1" x14ac:dyDescent="0.45">
      <c r="A1117" t="str">
        <f>HYPERLINK("https://leetcode.com/problems/array-partition", "561. Array Partition")</f>
        <v>561. Array Partition</v>
      </c>
      <c r="B1117" t="s">
        <v>4</v>
      </c>
      <c r="C1117" t="s">
        <v>725</v>
      </c>
      <c r="D1117" t="s">
        <v>663</v>
      </c>
    </row>
    <row r="1118" spans="1:4" hidden="1" x14ac:dyDescent="0.45">
      <c r="A1118" t="str">
        <f>HYPERLINK("https://leetcode.com/problems/count-of-matches-in-tournament", "1688. Count of Matches in Tournament")</f>
        <v>1688. Count of Matches in Tournament</v>
      </c>
      <c r="B1118" t="s">
        <v>4</v>
      </c>
      <c r="C1118" t="s">
        <v>586</v>
      </c>
      <c r="D1118" t="s">
        <v>663</v>
      </c>
    </row>
    <row r="1119" spans="1:4" hidden="1" x14ac:dyDescent="0.45">
      <c r="A1119" t="str">
        <f>HYPERLINK("https://leetcode.com/problems/number-of-ways-to-select-buildings", "2222. Number of Ways to Select Buildings")</f>
        <v>2222. Number of Ways to Select Buildings</v>
      </c>
      <c r="B1119" t="s">
        <v>7</v>
      </c>
      <c r="C1119" t="s">
        <v>646</v>
      </c>
      <c r="D1119" t="s">
        <v>663</v>
      </c>
    </row>
    <row r="1120" spans="1:4" hidden="1" x14ac:dyDescent="0.45">
      <c r="A1120" t="str">
        <f>HYPERLINK("https://leetcode.com/problems/circular-array-loop", "457. Circular Array Loop")</f>
        <v>457. Circular Array Loop</v>
      </c>
      <c r="B1120" t="s">
        <v>7</v>
      </c>
      <c r="C1120" t="s">
        <v>726</v>
      </c>
      <c r="D1120" t="s">
        <v>663</v>
      </c>
    </row>
    <row r="1121" spans="1:4" hidden="1" x14ac:dyDescent="0.45">
      <c r="A1121" t="str">
        <f>HYPERLINK("https://leetcode.com/problems/out-of-boundary-paths", "576. Out of Boundary Paths")</f>
        <v>576. Out of Boundary Paths</v>
      </c>
      <c r="B1121" t="s">
        <v>7</v>
      </c>
      <c r="C1121" t="s">
        <v>671</v>
      </c>
      <c r="D1121" t="s">
        <v>663</v>
      </c>
    </row>
    <row r="1122" spans="1:4" hidden="1" x14ac:dyDescent="0.45">
      <c r="A1122" t="str">
        <f>HYPERLINK("https://leetcode.com/problems/restaurant-growth", "1321. Restaurant Growth")</f>
        <v>1321. Restaurant Growth</v>
      </c>
      <c r="B1122" t="s">
        <v>7</v>
      </c>
      <c r="C1122" t="s">
        <v>326</v>
      </c>
      <c r="D1122" t="s">
        <v>664</v>
      </c>
    </row>
    <row r="1123" spans="1:4" hidden="1" x14ac:dyDescent="0.45">
      <c r="A1123" t="str">
        <f>HYPERLINK("https://leetcode.com/problems/lexicographically-smallest-string-after-applying-operations", "1625. Lexicographically Smallest String After Applying Operations")</f>
        <v>1625. Lexicographically Smallest String After Applying Operations</v>
      </c>
      <c r="B1123" t="s">
        <v>7</v>
      </c>
      <c r="C1123" t="s">
        <v>100</v>
      </c>
      <c r="D1123" t="s">
        <v>663</v>
      </c>
    </row>
    <row r="1124" spans="1:4" hidden="1" x14ac:dyDescent="0.45">
      <c r="A1124" t="str">
        <f>HYPERLINK("https://leetcode.com/problems/minimum-increment-to-make-array-unique", "945. Minimum Increment to Make Array Unique")</f>
        <v>945. Minimum Increment to Make Array Unique</v>
      </c>
      <c r="B1124" t="s">
        <v>7</v>
      </c>
      <c r="C1124" t="s">
        <v>712</v>
      </c>
      <c r="D1124" t="s">
        <v>663</v>
      </c>
    </row>
    <row r="1125" spans="1:4" hidden="1" x14ac:dyDescent="0.45">
      <c r="A1125" t="str">
        <f>HYPERLINK("https://leetcode.com/problems/how-many-numbers-are-smaller-than-the-current-number", "1365. How Many Numbers Are Smaller Than the Current Number")</f>
        <v>1365. How Many Numbers Are Smaller Than the Current Number</v>
      </c>
      <c r="B1125" t="s">
        <v>4</v>
      </c>
      <c r="C1125" t="s">
        <v>528</v>
      </c>
      <c r="D1125" t="s">
        <v>663</v>
      </c>
    </row>
    <row r="1126" spans="1:4" hidden="1" x14ac:dyDescent="0.45">
      <c r="A1126" t="str">
        <f>HYPERLINK("https://leetcode.com/problems/set-mismatch", "645. Set Mismatch")</f>
        <v>645. Set Mismatch</v>
      </c>
      <c r="B1126" t="s">
        <v>4</v>
      </c>
      <c r="C1126" t="s">
        <v>175</v>
      </c>
      <c r="D1126" t="s">
        <v>664</v>
      </c>
    </row>
    <row r="1127" spans="1:4" hidden="1" x14ac:dyDescent="0.45">
      <c r="A1127" t="str">
        <f>HYPERLINK("https://leetcode.com/problems/largest-odd-number-in-string", "1903. Largest Odd Number in String")</f>
        <v>1903. Largest Odd Number in String</v>
      </c>
      <c r="B1127" t="s">
        <v>4</v>
      </c>
      <c r="C1127" t="s">
        <v>185</v>
      </c>
      <c r="D1127" t="s">
        <v>674</v>
      </c>
    </row>
    <row r="1128" spans="1:4" hidden="1" x14ac:dyDescent="0.45">
      <c r="A1128" t="str">
        <f>HYPERLINK("https://leetcode.com/problems/construct-binary-search-tree-from-preorder-traversal", "1008. Construct Binary Search Tree from Preorder Traversal")</f>
        <v>1008. Construct Binary Search Tree from Preorder Traversal</v>
      </c>
      <c r="B1128" t="s">
        <v>7</v>
      </c>
      <c r="C1128" t="s">
        <v>588</v>
      </c>
      <c r="D1128" t="s">
        <v>659</v>
      </c>
    </row>
    <row r="1129" spans="1:4" hidden="1" x14ac:dyDescent="0.45">
      <c r="A1129" t="str">
        <f>HYPERLINK("https://leetcode.com/problems/string-without-aaa-or-bbb", "984. String Without AAA or BBB")</f>
        <v>984. String Without AAA or BBB</v>
      </c>
      <c r="B1129" t="s">
        <v>7</v>
      </c>
      <c r="C1129" t="s">
        <v>550</v>
      </c>
      <c r="D1129" t="s">
        <v>663</v>
      </c>
    </row>
    <row r="1130" spans="1:4" hidden="1" x14ac:dyDescent="0.45">
      <c r="A1130" t="str">
        <f>HYPERLINK("https://leetcode.com/problems/number-of-adjacent-elements-with-the-same-color", "2672. Number of Adjacent Elements With the Same Color")</f>
        <v>2672. Number of Adjacent Elements With the Same Color</v>
      </c>
      <c r="B1130" t="s">
        <v>7</v>
      </c>
      <c r="C1130" t="s">
        <v>307</v>
      </c>
      <c r="D1130" t="s">
        <v>672</v>
      </c>
    </row>
    <row r="1131" spans="1:4" hidden="1" x14ac:dyDescent="0.45">
      <c r="A1131" t="str">
        <f>HYPERLINK("https://leetcode.com/problems/restore-ip-addresses", "93. Restore IP Addresses")</f>
        <v>93. Restore IP Addresses</v>
      </c>
      <c r="B1131" t="s">
        <v>7</v>
      </c>
      <c r="C1131" t="s">
        <v>374</v>
      </c>
      <c r="D1131" t="s">
        <v>727</v>
      </c>
    </row>
    <row r="1132" spans="1:4" hidden="1" x14ac:dyDescent="0.45">
      <c r="A1132" t="str">
        <f>HYPERLINK("https://leetcode.com/problems/longest-path-with-different-adjacent-characters", "2246. Longest Path With Different Adjacent Characters")</f>
        <v>2246. Longest Path With Different Adjacent Characters</v>
      </c>
      <c r="B1132" t="s">
        <v>12</v>
      </c>
      <c r="C1132" t="s">
        <v>401</v>
      </c>
      <c r="D1132" t="s">
        <v>728</v>
      </c>
    </row>
    <row r="1133" spans="1:4" hidden="1" x14ac:dyDescent="0.45">
      <c r="A1133" t="str">
        <f>HYPERLINK("https://leetcode.com/problems/validate-ip-address", "468. Validate IP Address")</f>
        <v>468. Validate IP Address</v>
      </c>
      <c r="B1133" t="s">
        <v>7</v>
      </c>
      <c r="C1133" t="s">
        <v>729</v>
      </c>
      <c r="D1133" t="s">
        <v>730</v>
      </c>
    </row>
    <row r="1134" spans="1:4" hidden="1" x14ac:dyDescent="0.45">
      <c r="A1134" t="str">
        <f>HYPERLINK("https://leetcode.com/problems/minimum-cost-to-equalize-array", "3139. Minimum Cost to Equalize Array")</f>
        <v>3139. Minimum Cost to Equalize Array</v>
      </c>
      <c r="B1134" t="s">
        <v>12</v>
      </c>
      <c r="C1134" t="s">
        <v>731</v>
      </c>
      <c r="D1134" t="s">
        <v>732</v>
      </c>
    </row>
    <row r="1135" spans="1:4" hidden="1" x14ac:dyDescent="0.45">
      <c r="A1135" t="str">
        <f>HYPERLINK("https://leetcode.com/problems/maximum-nesting-depth-of-the-parentheses", "1614. Maximum Nesting Depth of the Parentheses")</f>
        <v>1614. Maximum Nesting Depth of the Parentheses</v>
      </c>
      <c r="B1135" t="s">
        <v>4</v>
      </c>
      <c r="C1135" t="s">
        <v>733</v>
      </c>
      <c r="D1135" t="s">
        <v>734</v>
      </c>
    </row>
    <row r="1136" spans="1:4" hidden="1" x14ac:dyDescent="0.45">
      <c r="A1136" t="str">
        <f>HYPERLINK("https://leetcode.com/problems/string-compression-ii", "1531. String Compression II")</f>
        <v>1531. String Compression II</v>
      </c>
      <c r="B1136" t="s">
        <v>12</v>
      </c>
      <c r="C1136" t="s">
        <v>33</v>
      </c>
      <c r="D1136" t="s">
        <v>732</v>
      </c>
    </row>
    <row r="1137" spans="1:4" hidden="1" x14ac:dyDescent="0.45">
      <c r="A1137" t="str">
        <f>HYPERLINK("https://leetcode.com/problems/find-if-array-can-be-sorted", "3011. Find if Array Can Be Sorted")</f>
        <v>3011. Find if Array Can Be Sorted</v>
      </c>
      <c r="B1137" t="s">
        <v>7</v>
      </c>
      <c r="C1137" t="s">
        <v>123</v>
      </c>
      <c r="D1137" t="s">
        <v>735</v>
      </c>
    </row>
    <row r="1138" spans="1:4" hidden="1" x14ac:dyDescent="0.45">
      <c r="A1138" t="str">
        <f>HYPERLINK("https://leetcode.com/problems/minimum-time-to-collect-all-apples-in-a-tree", "1443. Minimum Time to Collect All Apples in a Tree")</f>
        <v>1443. Minimum Time to Collect All Apples in a Tree</v>
      </c>
      <c r="B1138" t="s">
        <v>7</v>
      </c>
      <c r="C1138" t="s">
        <v>699</v>
      </c>
      <c r="D1138" t="s">
        <v>735</v>
      </c>
    </row>
    <row r="1139" spans="1:4" hidden="1" x14ac:dyDescent="0.45">
      <c r="A1139" t="str">
        <f>HYPERLINK("https://leetcode.com/problems/delete-characters-to-make-fancy-string", "1957. Delete Characters to Make Fancy String")</f>
        <v>1957. Delete Characters to Make Fancy String</v>
      </c>
      <c r="B1139" t="s">
        <v>4</v>
      </c>
      <c r="C1139" t="s">
        <v>489</v>
      </c>
      <c r="D1139" t="s">
        <v>732</v>
      </c>
    </row>
    <row r="1140" spans="1:4" hidden="1" x14ac:dyDescent="0.45">
      <c r="A1140" t="str">
        <f>HYPERLINK("https://leetcode.com/problems/special-array-ii", "3152. Special Array II")</f>
        <v>3152. Special Array II</v>
      </c>
      <c r="B1140" t="s">
        <v>7</v>
      </c>
      <c r="C1140" t="s">
        <v>388</v>
      </c>
      <c r="D1140" t="s">
        <v>736</v>
      </c>
    </row>
    <row r="1141" spans="1:4" hidden="1" x14ac:dyDescent="0.45">
      <c r="A1141" t="str">
        <f>HYPERLINK("https://leetcode.com/problems/digit-operations-to-make-two-integers-equal", "3377. Digit Operations to Make Two Integers Equal")</f>
        <v>3377. Digit Operations to Make Two Integers Equal</v>
      </c>
      <c r="B1141" t="s">
        <v>7</v>
      </c>
      <c r="C1141" t="s">
        <v>524</v>
      </c>
      <c r="D1141" t="s">
        <v>732</v>
      </c>
    </row>
    <row r="1142" spans="1:4" hidden="1" x14ac:dyDescent="0.45">
      <c r="A1142" t="str">
        <f>HYPERLINK("https://leetcode.com/problems/k-inverse-pairs-array", "629. K Inverse Pairs Array")</f>
        <v>629. K Inverse Pairs Array</v>
      </c>
      <c r="B1142" t="s">
        <v>12</v>
      </c>
      <c r="C1142" t="s">
        <v>160</v>
      </c>
      <c r="D1142" t="s">
        <v>732</v>
      </c>
    </row>
    <row r="1143" spans="1:4" hidden="1" x14ac:dyDescent="0.45">
      <c r="A1143" t="str">
        <f>HYPERLINK("https://leetcode.com/problems/count-subarrays-where-max-element-appears-at-least-k-times", "2962. Count Subarrays Where Max Element Appears at Least K Times")</f>
        <v>2962. Count Subarrays Where Max Element Appears at Least K Times</v>
      </c>
      <c r="B1143" t="s">
        <v>7</v>
      </c>
      <c r="C1143" t="s">
        <v>172</v>
      </c>
      <c r="D1143" t="s">
        <v>732</v>
      </c>
    </row>
    <row r="1144" spans="1:4" hidden="1" x14ac:dyDescent="0.45">
      <c r="A1144" t="str">
        <f>HYPERLINK("https://leetcode.com/problems/word-pattern-ii", "291. Word Pattern II")</f>
        <v>291. Word Pattern II</v>
      </c>
      <c r="B1144" t="s">
        <v>7</v>
      </c>
      <c r="C1144" t="s">
        <v>140</v>
      </c>
      <c r="D1144" t="s">
        <v>732</v>
      </c>
    </row>
    <row r="1145" spans="1:4" hidden="1" x14ac:dyDescent="0.45">
      <c r="A1145" t="str">
        <f>HYPERLINK("https://leetcode.com/problems/final-array-state-after-k-multiplication-operations-i", "3264. Final Array State After K Multiplication Operations I")</f>
        <v>3264. Final Array State After K Multiplication Operations I</v>
      </c>
      <c r="B1145" t="s">
        <v>4</v>
      </c>
      <c r="C1145" t="s">
        <v>737</v>
      </c>
      <c r="D1145" t="s">
        <v>732</v>
      </c>
    </row>
    <row r="1146" spans="1:4" hidden="1" x14ac:dyDescent="0.45">
      <c r="A1146" t="str">
        <f>HYPERLINK("https://leetcode.com/problems/circle-and-rectangle-overlapping", "1401. Circle and Rectangle Overlapping")</f>
        <v>1401. Circle and Rectangle Overlapping</v>
      </c>
      <c r="B1146" t="s">
        <v>7</v>
      </c>
      <c r="C1146" t="s">
        <v>140</v>
      </c>
      <c r="D1146" t="s">
        <v>732</v>
      </c>
    </row>
    <row r="1147" spans="1:4" hidden="1" x14ac:dyDescent="0.45">
      <c r="A1147" t="str">
        <f>HYPERLINK("https://leetcode.com/problems/count-paths-with-the-given-xor-value", "3393. Count Paths With the Given XOR Value")</f>
        <v>3393. Count Paths With the Given XOR Value</v>
      </c>
      <c r="B1147" t="s">
        <v>7</v>
      </c>
      <c r="C1147" t="s">
        <v>708</v>
      </c>
      <c r="D1147" t="s">
        <v>732</v>
      </c>
    </row>
    <row r="1148" spans="1:4" hidden="1" x14ac:dyDescent="0.45">
      <c r="A1148" t="str">
        <f>HYPERLINK("https://leetcode.com/problems/count-the-number-of-incremovable-subarrays-i", "2970. Count the Number of Incremovable Subarrays I")</f>
        <v>2970. Count the Number of Incremovable Subarrays I</v>
      </c>
      <c r="B1148" t="s">
        <v>4</v>
      </c>
      <c r="C1148" t="s">
        <v>200</v>
      </c>
      <c r="D1148" t="s">
        <v>732</v>
      </c>
    </row>
    <row r="1149" spans="1:4" hidden="1" x14ac:dyDescent="0.45">
      <c r="A1149" t="str">
        <f>HYPERLINK("https://leetcode.com/problems/customers-who-never-order", "183. Customers Who Never Order")</f>
        <v>183. Customers Who Never Order</v>
      </c>
      <c r="B1149" t="s">
        <v>4</v>
      </c>
      <c r="C1149" t="s">
        <v>498</v>
      </c>
      <c r="D1149" t="s">
        <v>732</v>
      </c>
    </row>
    <row r="1150" spans="1:4" hidden="1" x14ac:dyDescent="0.45">
      <c r="A1150" t="str">
        <f>HYPERLINK("https://leetcode.com/problems/longest-substring-of-all-vowels-in-order", "1839. Longest Substring Of All Vowels in Order")</f>
        <v>1839. Longest Substring Of All Vowels in Order</v>
      </c>
      <c r="B1150" t="s">
        <v>7</v>
      </c>
      <c r="C1150" t="s">
        <v>317</v>
      </c>
      <c r="D1150" t="s">
        <v>732</v>
      </c>
    </row>
    <row r="1151" spans="1:4" hidden="1" x14ac:dyDescent="0.45">
      <c r="A1151" t="str">
        <f>HYPERLINK("https://leetcode.com/problems/loud-and-rich", "851. Loud and Rich")</f>
        <v>851. Loud and Rich</v>
      </c>
      <c r="B1151" t="s">
        <v>7</v>
      </c>
      <c r="C1151" t="s">
        <v>278</v>
      </c>
      <c r="D1151" t="s">
        <v>732</v>
      </c>
    </row>
    <row r="1152" spans="1:4" hidden="1" x14ac:dyDescent="0.45">
      <c r="A1152" t="str">
        <f>HYPERLINK("https://leetcode.com/problems/determine-if-two-strings-are-close", "1657. Determine if Two Strings Are Close")</f>
        <v>1657. Determine if Two Strings Are Close</v>
      </c>
      <c r="B1152" t="s">
        <v>7</v>
      </c>
      <c r="C1152" t="s">
        <v>349</v>
      </c>
      <c r="D1152" t="s">
        <v>732</v>
      </c>
    </row>
    <row r="1153" spans="1:4" hidden="1" x14ac:dyDescent="0.45">
      <c r="A1153" t="str">
        <f>HYPERLINK("https://leetcode.com/problems/find-if-path-exists-in-graph", "1971. Find if Path Exists in Graph")</f>
        <v>1971. Find if Path Exists in Graph</v>
      </c>
      <c r="B1153" t="s">
        <v>4</v>
      </c>
      <c r="C1153" t="s">
        <v>401</v>
      </c>
      <c r="D1153" t="s">
        <v>736</v>
      </c>
    </row>
    <row r="1154" spans="1:4" hidden="1" x14ac:dyDescent="0.45">
      <c r="A1154" t="str">
        <f>HYPERLINK("https://leetcode.com/problems/list-the-products-ordered-in-a-period", "1327. List the Products Ordered in a Period")</f>
        <v>1327. List the Products Ordered in a Period</v>
      </c>
      <c r="B1154" t="s">
        <v>4</v>
      </c>
      <c r="C1154" t="s">
        <v>673</v>
      </c>
      <c r="D1154" t="s">
        <v>732</v>
      </c>
    </row>
    <row r="1155" spans="1:4" hidden="1" x14ac:dyDescent="0.45">
      <c r="A1155" t="str">
        <f>HYPERLINK("https://leetcode.com/problems/minimum-bit-flips-to-convert-number", "2220. Minimum Bit Flips to Convert Number")</f>
        <v>2220. Minimum Bit Flips to Convert Number</v>
      </c>
      <c r="B1155" t="s">
        <v>4</v>
      </c>
      <c r="C1155" t="s">
        <v>738</v>
      </c>
      <c r="D1155" t="s">
        <v>732</v>
      </c>
    </row>
    <row r="1156" spans="1:4" hidden="1" x14ac:dyDescent="0.45">
      <c r="A1156" t="str">
        <f>HYPERLINK("https://leetcode.com/problems/find-minimum-in-rotated-sorted-array-ii", "154. Find Minimum in Rotated Sorted Array II")</f>
        <v>154. Find Minimum in Rotated Sorted Array II</v>
      </c>
      <c r="B1156" t="s">
        <v>12</v>
      </c>
      <c r="C1156" t="s">
        <v>321</v>
      </c>
      <c r="D1156" t="s">
        <v>732</v>
      </c>
    </row>
    <row r="1157" spans="1:4" hidden="1" x14ac:dyDescent="0.45">
      <c r="A1157" t="str">
        <f>HYPERLINK("https://leetcode.com/problems/count-the-number-of-special-characters-ii", "3121. Count the Number of Special Characters II")</f>
        <v>3121. Count the Number of Special Characters II</v>
      </c>
      <c r="B1157" t="s">
        <v>7</v>
      </c>
      <c r="C1157" t="s">
        <v>492</v>
      </c>
      <c r="D1157" t="s">
        <v>732</v>
      </c>
    </row>
    <row r="1158" spans="1:4" hidden="1" x14ac:dyDescent="0.45">
      <c r="A1158" t="str">
        <f>HYPERLINK("https://leetcode.com/problems/encode-and-decode-tinyurl", "535. Encode and Decode TinyURL")</f>
        <v>535. Encode and Decode TinyURL</v>
      </c>
      <c r="B1158" t="s">
        <v>7</v>
      </c>
      <c r="C1158" t="s">
        <v>503</v>
      </c>
      <c r="D1158" t="s">
        <v>732</v>
      </c>
    </row>
    <row r="1159" spans="1:4" hidden="1" x14ac:dyDescent="0.45">
      <c r="A1159" t="str">
        <f>HYPERLINK("https://leetcode.com/problems/minimum-sideway-jumps", "1824. Minimum Sideway Jumps")</f>
        <v>1824. Minimum Sideway Jumps</v>
      </c>
      <c r="B1159" t="s">
        <v>7</v>
      </c>
      <c r="C1159" t="s">
        <v>638</v>
      </c>
      <c r="D1159" t="s">
        <v>732</v>
      </c>
    </row>
    <row r="1160" spans="1:4" hidden="1" x14ac:dyDescent="0.45">
      <c r="A1160" t="str">
        <f>HYPERLINK("https://leetcode.com/problems/longest-zigzag-path-in-a-binary-tree", "1372. Longest ZigZag Path in a Binary Tree")</f>
        <v>1372. Longest ZigZag Path in a Binary Tree</v>
      </c>
      <c r="B1160" t="s">
        <v>7</v>
      </c>
      <c r="C1160" t="s">
        <v>56</v>
      </c>
      <c r="D1160" t="s">
        <v>732</v>
      </c>
    </row>
    <row r="1161" spans="1:4" hidden="1" x14ac:dyDescent="0.45">
      <c r="A1161" t="str">
        <f>HYPERLINK("https://leetcode.com/problems/fruits-into-baskets-ii", "3477. Fruits Into Baskets II")</f>
        <v>3477. Fruits Into Baskets II</v>
      </c>
      <c r="B1161" t="s">
        <v>4</v>
      </c>
      <c r="C1161" t="s">
        <v>437</v>
      </c>
      <c r="D1161" t="s">
        <v>732</v>
      </c>
    </row>
    <row r="1162" spans="1:4" hidden="1" x14ac:dyDescent="0.45">
      <c r="A1162" t="str">
        <f>HYPERLINK("https://leetcode.com/problems/number-of-spaces-cleaning-robot-cleaned", "2061. Number of Spaces Cleaning Robot Cleaned")</f>
        <v>2061. Number of Spaces Cleaning Robot Cleaned</v>
      </c>
      <c r="B1162" t="s">
        <v>7</v>
      </c>
      <c r="C1162" t="s">
        <v>141</v>
      </c>
      <c r="D1162" t="s">
        <v>732</v>
      </c>
    </row>
    <row r="1163" spans="1:4" hidden="1" x14ac:dyDescent="0.45">
      <c r="A1163" t="str">
        <f>HYPERLINK("https://leetcode.com/problems/remove-invalid-parentheses", "301. Remove Invalid Parentheses")</f>
        <v>301. Remove Invalid Parentheses</v>
      </c>
      <c r="B1163" t="s">
        <v>12</v>
      </c>
      <c r="C1163" t="s">
        <v>43</v>
      </c>
      <c r="D1163" t="s">
        <v>735</v>
      </c>
    </row>
    <row r="1164" spans="1:4" hidden="1" x14ac:dyDescent="0.45">
      <c r="A1164" t="str">
        <f>HYPERLINK("https://leetcode.com/problems/maximum-sum-bst-in-binary-tree", "1373. Maximum Sum BST in Binary Tree")</f>
        <v>1373. Maximum Sum BST in Binary Tree</v>
      </c>
      <c r="B1164" t="s">
        <v>12</v>
      </c>
      <c r="C1164" t="s">
        <v>366</v>
      </c>
      <c r="D1164" t="s">
        <v>732</v>
      </c>
    </row>
    <row r="1165" spans="1:4" hidden="1" x14ac:dyDescent="0.45">
      <c r="A1165" t="str">
        <f>HYPERLINK("https://leetcode.com/problems/serialize-and-deserialize-bst", "449. Serialize and Deserialize BST")</f>
        <v>449. Serialize and Deserialize BST</v>
      </c>
      <c r="B1165" t="s">
        <v>7</v>
      </c>
      <c r="C1165" t="s">
        <v>172</v>
      </c>
      <c r="D1165" t="s">
        <v>732</v>
      </c>
    </row>
    <row r="1166" spans="1:4" hidden="1" x14ac:dyDescent="0.45">
      <c r="A1166" t="str">
        <f>HYPERLINK("https://leetcode.com/problems/memoize", "2623. Memoize")</f>
        <v>2623. Memoize</v>
      </c>
      <c r="B1166" t="s">
        <v>7</v>
      </c>
      <c r="C1166" t="s">
        <v>569</v>
      </c>
      <c r="D1166" t="s">
        <v>732</v>
      </c>
    </row>
    <row r="1167" spans="1:4" hidden="1" x14ac:dyDescent="0.45">
      <c r="A1167" t="str">
        <f>HYPERLINK("https://leetcode.com/problems/reformat-department-table", "1179. Reformat Department Table")</f>
        <v>1179. Reformat Department Table</v>
      </c>
      <c r="B1167" t="s">
        <v>4</v>
      </c>
      <c r="C1167" t="s">
        <v>124</v>
      </c>
      <c r="D1167" t="s">
        <v>732</v>
      </c>
    </row>
    <row r="1168" spans="1:4" hidden="1" x14ac:dyDescent="0.45">
      <c r="A1168" t="str">
        <f>HYPERLINK("https://leetcode.com/problems/game-play-analysis-i", "511. Game Play Analysis I")</f>
        <v>511. Game Play Analysis I</v>
      </c>
      <c r="B1168" t="s">
        <v>4</v>
      </c>
      <c r="C1168" t="s">
        <v>196</v>
      </c>
      <c r="D1168" t="s">
        <v>732</v>
      </c>
    </row>
    <row r="1169" spans="1:4" hidden="1" x14ac:dyDescent="0.45">
      <c r="A1169" t="str">
        <f>HYPERLINK("https://leetcode.com/problems/apple-redistribution-into-boxes", "3074. Apple Redistribution into Boxes")</f>
        <v>3074. Apple Redistribution into Boxes</v>
      </c>
      <c r="B1169" t="s">
        <v>4</v>
      </c>
      <c r="C1169" t="s">
        <v>387</v>
      </c>
      <c r="D1169" t="s">
        <v>739</v>
      </c>
    </row>
    <row r="1170" spans="1:4" hidden="1" x14ac:dyDescent="0.45">
      <c r="A1170" t="str">
        <f>HYPERLINK("https://leetcode.com/problems/paint-house", "256. Paint House")</f>
        <v>256. Paint House</v>
      </c>
      <c r="B1170" t="s">
        <v>7</v>
      </c>
      <c r="C1170" t="s">
        <v>516</v>
      </c>
      <c r="D1170" t="s">
        <v>740</v>
      </c>
    </row>
    <row r="1171" spans="1:4" hidden="1" x14ac:dyDescent="0.45">
      <c r="A1171" t="str">
        <f>HYPERLINK("https://leetcode.com/problems/closest-binary-search-tree-value-ii", "272. Closest Binary Search Tree Value II")</f>
        <v>272. Closest Binary Search Tree Value II</v>
      </c>
      <c r="B1171" t="s">
        <v>12</v>
      </c>
      <c r="C1171" t="s">
        <v>657</v>
      </c>
      <c r="D1171" t="s">
        <v>740</v>
      </c>
    </row>
    <row r="1172" spans="1:4" hidden="1" x14ac:dyDescent="0.45">
      <c r="A1172" t="str">
        <f>HYPERLINK("https://leetcode.com/problems/valid-triangle-number", "611. Valid Triangle Number")</f>
        <v>611. Valid Triangle Number</v>
      </c>
      <c r="B1172" t="s">
        <v>7</v>
      </c>
      <c r="C1172" t="s">
        <v>47</v>
      </c>
      <c r="D1172" t="s">
        <v>741</v>
      </c>
    </row>
    <row r="1173" spans="1:4" hidden="1" x14ac:dyDescent="0.45">
      <c r="A1173" t="str">
        <f>HYPERLINK("https://leetcode.com/problems/shortest-word-distance-ii", "244. Shortest Word Distance II")</f>
        <v>244. Shortest Word Distance II</v>
      </c>
      <c r="B1173" t="s">
        <v>7</v>
      </c>
      <c r="C1173" t="s">
        <v>202</v>
      </c>
      <c r="D1173" t="s">
        <v>740</v>
      </c>
    </row>
    <row r="1174" spans="1:4" hidden="1" x14ac:dyDescent="0.45">
      <c r="A1174" t="str">
        <f>HYPERLINK("https://leetcode.com/problems/binary-tree-upside-down", "156. Binary Tree Upside Down")</f>
        <v>156. Binary Tree Upside Down</v>
      </c>
      <c r="B1174" t="s">
        <v>7</v>
      </c>
      <c r="C1174" t="s">
        <v>252</v>
      </c>
      <c r="D1174" t="s">
        <v>740</v>
      </c>
    </row>
    <row r="1175" spans="1:4" hidden="1" x14ac:dyDescent="0.45">
      <c r="A1175" t="str">
        <f>HYPERLINK("https://leetcode.com/problems/second-minimum-node-in-a-binary-tree", "671. Second Minimum Node In a Binary Tree")</f>
        <v>671. Second Minimum Node In a Binary Tree</v>
      </c>
      <c r="B1175" t="s">
        <v>4</v>
      </c>
      <c r="C1175" t="s">
        <v>229</v>
      </c>
      <c r="D1175" t="s">
        <v>742</v>
      </c>
    </row>
    <row r="1176" spans="1:4" hidden="1" x14ac:dyDescent="0.45">
      <c r="A1176" t="str">
        <f>HYPERLINK("https://leetcode.com/problems/factor-combinations", "254. Factor Combinations")</f>
        <v>254. Factor Combinations</v>
      </c>
      <c r="B1176" t="s">
        <v>7</v>
      </c>
      <c r="C1176" t="s">
        <v>317</v>
      </c>
      <c r="D1176" t="s">
        <v>740</v>
      </c>
    </row>
    <row r="1177" spans="1:4" hidden="1" x14ac:dyDescent="0.45">
      <c r="A1177" t="str">
        <f>HYPERLINK("https://leetcode.com/problems/closest-leaf-in-a-binary-tree", "742. Closest Leaf in a Binary Tree")</f>
        <v>742. Closest Leaf in a Binary Tree</v>
      </c>
      <c r="B1177" t="s">
        <v>7</v>
      </c>
      <c r="C1177" t="s">
        <v>274</v>
      </c>
      <c r="D1177" t="s">
        <v>740</v>
      </c>
    </row>
    <row r="1178" spans="1:4" hidden="1" x14ac:dyDescent="0.45">
      <c r="A1178" t="str">
        <f>HYPERLINK("https://leetcode.com/problems/number-of-divisible-triplet-sums", "2964. Number of Divisible Triplet Sums")</f>
        <v>2964. Number of Divisible Triplet Sums</v>
      </c>
      <c r="B1178" t="s">
        <v>7</v>
      </c>
      <c r="C1178" t="s">
        <v>336</v>
      </c>
      <c r="D1178" t="s">
        <v>743</v>
      </c>
    </row>
    <row r="1179" spans="1:4" hidden="1" x14ac:dyDescent="0.45">
      <c r="A1179" t="str">
        <f>HYPERLINK("https://leetcode.com/problems/kth-smallest-product-of-two-sorted-arrays", "2040. Kth Smallest Product of Two Sorted Arrays")</f>
        <v>2040. Kth Smallest Product of Two Sorted Arrays</v>
      </c>
      <c r="B1179" t="s">
        <v>12</v>
      </c>
      <c r="C1179" t="s">
        <v>744</v>
      </c>
      <c r="D1179" t="s">
        <v>740</v>
      </c>
    </row>
    <row r="1180" spans="1:4" hidden="1" x14ac:dyDescent="0.45">
      <c r="A1180" t="str">
        <f>HYPERLINK("https://leetcode.com/problems/can-i-win", "464. Can I Win")</f>
        <v>464. Can I Win</v>
      </c>
      <c r="B1180" t="s">
        <v>7</v>
      </c>
      <c r="C1180" t="s">
        <v>745</v>
      </c>
      <c r="D1180" t="s">
        <v>740</v>
      </c>
    </row>
    <row r="1181" spans="1:4" hidden="1" x14ac:dyDescent="0.45">
      <c r="A1181" t="str">
        <f>HYPERLINK("https://leetcode.com/problems/maximize-subarrays-after-removing-one-conflicting-pair", "3480. Maximize Subarrays After Removing One Conflicting Pair")</f>
        <v>3480. Maximize Subarrays After Removing One Conflicting Pair</v>
      </c>
      <c r="B1181" t="s">
        <v>12</v>
      </c>
      <c r="C1181" t="s">
        <v>677</v>
      </c>
      <c r="D1181" t="s">
        <v>740</v>
      </c>
    </row>
    <row r="1182" spans="1:4" hidden="1" x14ac:dyDescent="0.45">
      <c r="A1182" t="str">
        <f>HYPERLINK("https://leetcode.com/problems/paint-house-ii", "265. Paint House II")</f>
        <v>265. Paint House II</v>
      </c>
      <c r="B1182" t="s">
        <v>12</v>
      </c>
      <c r="C1182" t="s">
        <v>21</v>
      </c>
      <c r="D1182" t="s">
        <v>740</v>
      </c>
    </row>
    <row r="1183" spans="1:4" hidden="1" x14ac:dyDescent="0.45">
      <c r="A1183" t="str">
        <f>HYPERLINK("https://leetcode.com/problems/shortest-word-distance-iii", "245. Shortest Word Distance III")</f>
        <v>245. Shortest Word Distance III</v>
      </c>
      <c r="B1183" t="s">
        <v>7</v>
      </c>
      <c r="C1183" t="s">
        <v>460</v>
      </c>
      <c r="D1183" t="s">
        <v>740</v>
      </c>
    </row>
    <row r="1184" spans="1:4" hidden="1" x14ac:dyDescent="0.45">
      <c r="A1184" t="str">
        <f>HYPERLINK("https://leetcode.com/problems/largest-color-value-in-a-directed-graph", "1857. Largest Color Value in a Directed Graph")</f>
        <v>1857. Largest Color Value in a Directed Graph</v>
      </c>
      <c r="B1184" t="s">
        <v>12</v>
      </c>
      <c r="C1184" t="s">
        <v>301</v>
      </c>
      <c r="D1184" t="s">
        <v>740</v>
      </c>
    </row>
    <row r="1185" spans="1:4" hidden="1" x14ac:dyDescent="0.45">
      <c r="A1185" t="str">
        <f>HYPERLINK("https://leetcode.com/problems/count-integers-in-intervals", "2276. Count Integers in Intervals")</f>
        <v>2276. Count Integers in Intervals</v>
      </c>
      <c r="B1185" t="s">
        <v>12</v>
      </c>
      <c r="C1185" t="s">
        <v>655</v>
      </c>
      <c r="D1185" t="s">
        <v>740</v>
      </c>
    </row>
    <row r="1186" spans="1:4" hidden="1" x14ac:dyDescent="0.45">
      <c r="A1186" t="str">
        <f>HYPERLINK("https://leetcode.com/problems/cinema-seat-allocation", "1386. Cinema Seat Allocation")</f>
        <v>1386. Cinema Seat Allocation</v>
      </c>
      <c r="B1186" t="s">
        <v>7</v>
      </c>
      <c r="C1186" t="s">
        <v>135</v>
      </c>
      <c r="D1186" t="s">
        <v>740</v>
      </c>
    </row>
    <row r="1187" spans="1:4" hidden="1" x14ac:dyDescent="0.45">
      <c r="A1187" t="str">
        <f>HYPERLINK("https://leetcode.com/problems/leftmost-column-with-at-least-a-one", "1428. Leftmost Column with at Least a One")</f>
        <v>1428. Leftmost Column with at Least a One</v>
      </c>
      <c r="B1187" t="s">
        <v>7</v>
      </c>
      <c r="C1187" t="s">
        <v>187</v>
      </c>
      <c r="D1187" t="s">
        <v>746</v>
      </c>
    </row>
    <row r="1188" spans="1:4" hidden="1" x14ac:dyDescent="0.45">
      <c r="A1188" t="str">
        <f>HYPERLINK("https://leetcode.com/problems/count-subarrays-with-fixed-bounds", "2444. Count Subarrays With Fixed Bounds")</f>
        <v>2444. Count Subarrays With Fixed Bounds</v>
      </c>
      <c r="B1188" t="s">
        <v>12</v>
      </c>
      <c r="C1188" t="s">
        <v>221</v>
      </c>
      <c r="D1188" t="s">
        <v>746</v>
      </c>
    </row>
    <row r="1189" spans="1:4" hidden="1" x14ac:dyDescent="0.45">
      <c r="A1189" t="str">
        <f>HYPERLINK("https://leetcode.com/problems/split-message-based-on-limit", "2468. Split Message Based on Limit")</f>
        <v>2468. Split Message Based on Limit</v>
      </c>
      <c r="B1189" t="s">
        <v>12</v>
      </c>
      <c r="C1189" t="s">
        <v>414</v>
      </c>
      <c r="D1189" t="s">
        <v>746</v>
      </c>
    </row>
    <row r="1190" spans="1:4" hidden="1" x14ac:dyDescent="0.45">
      <c r="A1190" t="str">
        <f>HYPERLINK("https://leetcode.com/problems/construct-quad-tree", "427. Construct Quad Tree")</f>
        <v>427. Construct Quad Tree</v>
      </c>
      <c r="B1190" t="s">
        <v>7</v>
      </c>
      <c r="C1190" t="s">
        <v>124</v>
      </c>
      <c r="D1190" t="s">
        <v>747</v>
      </c>
    </row>
    <row r="1191" spans="1:4" hidden="1" x14ac:dyDescent="0.45">
      <c r="A1191" t="str">
        <f>HYPERLINK("https://leetcode.com/problems/minimum-operations-to-write-the-letter-y-on-a-grid", "3071. Minimum Operations to Write the Letter Y on a Grid")</f>
        <v>3071. Minimum Operations to Write the Letter Y on a Grid</v>
      </c>
      <c r="B1191" t="s">
        <v>7</v>
      </c>
      <c r="C1191" t="s">
        <v>205</v>
      </c>
      <c r="D1191" t="s">
        <v>746</v>
      </c>
    </row>
    <row r="1192" spans="1:4" hidden="1" x14ac:dyDescent="0.45">
      <c r="A1192" t="str">
        <f>HYPERLINK("https://leetcode.com/problems/block-placement-queries", "3161. Block Placement Queries")</f>
        <v>3161. Block Placement Queries</v>
      </c>
      <c r="B1192" t="s">
        <v>12</v>
      </c>
      <c r="C1192" t="s">
        <v>748</v>
      </c>
      <c r="D1192" t="s">
        <v>749</v>
      </c>
    </row>
    <row r="1193" spans="1:4" hidden="1" x14ac:dyDescent="0.45">
      <c r="A1193" t="str">
        <f>HYPERLINK("https://leetcode.com/problems/find-minimum-time-to-reach-last-room-i", "3341. Find Minimum Time to Reach Last Room I")</f>
        <v>3341. Find Minimum Time to Reach Last Room I</v>
      </c>
      <c r="B1193" t="s">
        <v>7</v>
      </c>
      <c r="C1193" t="s">
        <v>538</v>
      </c>
      <c r="D1193" t="s">
        <v>746</v>
      </c>
    </row>
    <row r="1194" spans="1:4" hidden="1" x14ac:dyDescent="0.45">
      <c r="A1194" t="str">
        <f>HYPERLINK("https://leetcode.com/problems/find-minimum-time-to-reach-last-room-ii", "3342. Find Minimum Time to Reach Last Room II")</f>
        <v>3342. Find Minimum Time to Reach Last Room II</v>
      </c>
      <c r="B1194" t="s">
        <v>7</v>
      </c>
      <c r="C1194" t="s">
        <v>429</v>
      </c>
      <c r="D1194" t="s">
        <v>746</v>
      </c>
    </row>
    <row r="1195" spans="1:4" hidden="1" x14ac:dyDescent="0.45">
      <c r="A1195" t="str">
        <f>HYPERLINK("https://leetcode.com/problems/meeting-scheduler", "1229. Meeting Scheduler")</f>
        <v>1229. Meeting Scheduler</v>
      </c>
      <c r="B1195" t="s">
        <v>7</v>
      </c>
      <c r="C1195" t="s">
        <v>413</v>
      </c>
      <c r="D1195" t="s">
        <v>746</v>
      </c>
    </row>
    <row r="1196" spans="1:4" hidden="1" x14ac:dyDescent="0.45">
      <c r="A1196" t="str">
        <f>HYPERLINK("https://leetcode.com/problems/design-memory-allocator", "2502. Design Memory Allocator")</f>
        <v>2502. Design Memory Allocator</v>
      </c>
      <c r="B1196" t="s">
        <v>7</v>
      </c>
      <c r="C1196" t="s">
        <v>718</v>
      </c>
      <c r="D1196" t="s">
        <v>746</v>
      </c>
    </row>
    <row r="1197" spans="1:4" hidden="1" x14ac:dyDescent="0.45">
      <c r="A1197" t="str">
        <f>HYPERLINK("https://leetcode.com/problems/candy-crush", "723. Candy Crush")</f>
        <v>723. Candy Crush</v>
      </c>
      <c r="B1197" t="s">
        <v>7</v>
      </c>
      <c r="C1197" t="s">
        <v>86</v>
      </c>
      <c r="D1197" t="s">
        <v>750</v>
      </c>
    </row>
    <row r="1198" spans="1:4" hidden="1" x14ac:dyDescent="0.45">
      <c r="A1198" t="str">
        <f>HYPERLINK("https://leetcode.com/problems/amount-of-new-area-painted-each-day", "2158. Amount of New Area Painted Each Day")</f>
        <v>2158. Amount of New Area Painted Each Day</v>
      </c>
      <c r="B1198" t="s">
        <v>12</v>
      </c>
      <c r="C1198" t="s">
        <v>5</v>
      </c>
      <c r="D1198" t="s">
        <v>746</v>
      </c>
    </row>
    <row r="1199" spans="1:4" hidden="1" x14ac:dyDescent="0.45">
      <c r="A1199" t="str">
        <f>HYPERLINK("https://leetcode.com/problems/number-of-black-blocks", "2768. Number of Black Blocks")</f>
        <v>2768. Number of Black Blocks</v>
      </c>
      <c r="B1199" t="s">
        <v>7</v>
      </c>
      <c r="C1199" t="s">
        <v>751</v>
      </c>
      <c r="D1199" t="s">
        <v>746</v>
      </c>
    </row>
    <row r="1200" spans="1:4" hidden="1" x14ac:dyDescent="0.45">
      <c r="A1200" t="str">
        <f>HYPERLINK("https://leetcode.com/problems/maximum-coin-collection", "3466. Maximum Coin Collection")</f>
        <v>3466. Maximum Coin Collection</v>
      </c>
      <c r="B1200" t="s">
        <v>7</v>
      </c>
      <c r="C1200" t="s">
        <v>349</v>
      </c>
      <c r="D1200" t="s">
        <v>746</v>
      </c>
    </row>
    <row r="1201" spans="1:4" hidden="1" x14ac:dyDescent="0.45">
      <c r="A1201" t="str">
        <f>HYPERLINK("https://leetcode.com/problems/count-different-palindromic-subsequences", "730. Count Different Palindromic Subsequences")</f>
        <v>730. Count Different Palindromic Subsequences</v>
      </c>
      <c r="B1201" t="s">
        <v>12</v>
      </c>
      <c r="C1201" t="s">
        <v>320</v>
      </c>
      <c r="D1201" t="s">
        <v>752</v>
      </c>
    </row>
    <row r="1202" spans="1:4" hidden="1" x14ac:dyDescent="0.45">
      <c r="A1202" t="str">
        <f>HYPERLINK("https://leetcode.com/problems/min-cost-to-connect-all-points", "1584. Min Cost to Connect All Points")</f>
        <v>1584. Min Cost to Connect All Points</v>
      </c>
      <c r="B1202" t="s">
        <v>7</v>
      </c>
      <c r="C1202" t="s">
        <v>610</v>
      </c>
      <c r="D1202" t="s">
        <v>746</v>
      </c>
    </row>
    <row r="1203" spans="1:4" hidden="1" x14ac:dyDescent="0.45">
      <c r="A1203" t="str">
        <f>HYPERLINK("https://leetcode.com/problems/count-nice-pairs-in-an-array", "1814. Count Nice Pairs in an Array")</f>
        <v>1814. Count Nice Pairs in an Array</v>
      </c>
      <c r="B1203" t="s">
        <v>7</v>
      </c>
      <c r="C1203" t="s">
        <v>140</v>
      </c>
      <c r="D1203" t="s">
        <v>746</v>
      </c>
    </row>
    <row r="1204" spans="1:4" hidden="1" x14ac:dyDescent="0.45">
      <c r="A1204" t="str">
        <f>HYPERLINK("https://leetcode.com/problems/number-of-distinct-substrings-in-a-string", "1698. Number of Distinct Substrings in a String")</f>
        <v>1698. Number of Distinct Substrings in a String</v>
      </c>
      <c r="B1204" t="s">
        <v>7</v>
      </c>
      <c r="C1204" t="s">
        <v>115</v>
      </c>
      <c r="D1204" t="s">
        <v>746</v>
      </c>
    </row>
    <row r="1205" spans="1:4" hidden="1" x14ac:dyDescent="0.45">
      <c r="A1205" t="str">
        <f>HYPERLINK("https://leetcode.com/problems/number-of-subarrays-that-match-a-pattern-i", "3034. Number of Subarrays That Match a Pattern I")</f>
        <v>3034. Number of Subarrays That Match a Pattern I</v>
      </c>
      <c r="B1205" t="s">
        <v>7</v>
      </c>
      <c r="C1205" t="s">
        <v>506</v>
      </c>
      <c r="D1205" t="s">
        <v>746</v>
      </c>
    </row>
    <row r="1206" spans="1:4" hidden="1" x14ac:dyDescent="0.45">
      <c r="A1206" t="str">
        <f>HYPERLINK("https://leetcode.com/problems/strobogrammatic-number", "246. Strobogrammatic Number")</f>
        <v>246. Strobogrammatic Number</v>
      </c>
      <c r="B1206" t="s">
        <v>4</v>
      </c>
      <c r="C1206" t="s">
        <v>753</v>
      </c>
      <c r="D1206" t="s">
        <v>754</v>
      </c>
    </row>
    <row r="1207" spans="1:4" hidden="1" x14ac:dyDescent="0.45">
      <c r="A1207" t="str">
        <f>HYPERLINK("https://leetcode.com/problems/palindrome-permutation", "266. Palindrome Permutation")</f>
        <v>266. Palindrome Permutation</v>
      </c>
      <c r="B1207" t="s">
        <v>4</v>
      </c>
      <c r="C1207" t="s">
        <v>755</v>
      </c>
      <c r="D1207" t="s">
        <v>754</v>
      </c>
    </row>
    <row r="1208" spans="1:4" hidden="1" x14ac:dyDescent="0.45">
      <c r="A1208" t="str">
        <f>HYPERLINK("https://leetcode.com/problems/closest-binary-search-tree-value", "270. Closest Binary Search Tree Value")</f>
        <v>270. Closest Binary Search Tree Value</v>
      </c>
      <c r="B1208" t="s">
        <v>4</v>
      </c>
      <c r="C1208" t="s">
        <v>216</v>
      </c>
      <c r="D1208" t="s">
        <v>754</v>
      </c>
    </row>
    <row r="1209" spans="1:4" hidden="1" x14ac:dyDescent="0.45">
      <c r="A1209" t="str">
        <f>HYPERLINK("https://leetcode.com/problems/count-nodes-equal-to-average-of-subtree", "2265. Count Nodes Equal to Average of Subtree")</f>
        <v>2265. Count Nodes Equal to Average of Subtree</v>
      </c>
      <c r="B1209" t="s">
        <v>7</v>
      </c>
      <c r="C1209" t="s">
        <v>756</v>
      </c>
      <c r="D1209" t="s">
        <v>754</v>
      </c>
    </row>
    <row r="1210" spans="1:4" hidden="1" x14ac:dyDescent="0.45">
      <c r="A1210" t="str">
        <f>HYPERLINK("https://leetcode.com/problems/largest-bst-subtree", "333. Largest BST Subtree")</f>
        <v>333. Largest BST Subtree</v>
      </c>
      <c r="B1210" t="s">
        <v>7</v>
      </c>
      <c r="C1210" t="s">
        <v>229</v>
      </c>
      <c r="D1210" t="s">
        <v>754</v>
      </c>
    </row>
    <row r="1211" spans="1:4" hidden="1" x14ac:dyDescent="0.45">
      <c r="A1211" t="str">
        <f>HYPERLINK("https://leetcode.com/problems/random-pick-index", "398. Random Pick Index")</f>
        <v>398. Random Pick Index</v>
      </c>
      <c r="B1211" t="s">
        <v>7</v>
      </c>
      <c r="C1211" t="s">
        <v>115</v>
      </c>
      <c r="D1211" t="s">
        <v>754</v>
      </c>
    </row>
    <row r="1212" spans="1:4" hidden="1" x14ac:dyDescent="0.45">
      <c r="A1212" t="str">
        <f>HYPERLINK("https://leetcode.com/problems/construct-binary-tree-from-string", "536. Construct Binary Tree from String")</f>
        <v>536. Construct Binary Tree from String</v>
      </c>
      <c r="B1212" t="s">
        <v>7</v>
      </c>
      <c r="C1212" t="s">
        <v>493</v>
      </c>
      <c r="D1212" t="s">
        <v>754</v>
      </c>
    </row>
    <row r="1213" spans="1:4" hidden="1" x14ac:dyDescent="0.45">
      <c r="A1213" t="str">
        <f>HYPERLINK("https://leetcode.com/problems/stickers-to-spell-word", "691. Stickers to Spell Word")</f>
        <v>691. Stickers to Spell Word</v>
      </c>
      <c r="B1213" t="s">
        <v>12</v>
      </c>
      <c r="C1213" t="s">
        <v>429</v>
      </c>
      <c r="D1213" t="s">
        <v>754</v>
      </c>
    </row>
    <row r="1214" spans="1:4" hidden="1" x14ac:dyDescent="0.45">
      <c r="A1214" t="str">
        <f>HYPERLINK("https://leetcode.com/problems/convert-binary-search-tree-to-sorted-doubly-linked-list", "426. Convert Binary Search Tree to Sorted Doubly Linked List")</f>
        <v>426. Convert Binary Search Tree to Sorted Doubly Linked List</v>
      </c>
      <c r="B1214" t="s">
        <v>7</v>
      </c>
      <c r="C1214" t="s">
        <v>297</v>
      </c>
      <c r="D1214" t="s">
        <v>754</v>
      </c>
    </row>
    <row r="1215" spans="1:4" hidden="1" x14ac:dyDescent="0.45">
      <c r="A1215" t="str">
        <f>HYPERLINK("https://leetcode.com/problems/toeplitz-matrix", "766. Toeplitz Matrix")</f>
        <v>766. Toeplitz Matrix</v>
      </c>
      <c r="B1215" t="s">
        <v>4</v>
      </c>
      <c r="C1215" t="s">
        <v>461</v>
      </c>
      <c r="D1215" t="s">
        <v>754</v>
      </c>
    </row>
    <row r="1216" spans="1:4" hidden="1" x14ac:dyDescent="0.45">
      <c r="A1216" t="str">
        <f>HYPERLINK("https://leetcode.com/problems/goat-latin", "824. Goat Latin")</f>
        <v>824. Goat Latin</v>
      </c>
      <c r="B1216" t="s">
        <v>4</v>
      </c>
      <c r="C1216" t="s">
        <v>757</v>
      </c>
      <c r="D1216" t="s">
        <v>754</v>
      </c>
    </row>
    <row r="1217" spans="1:4" hidden="1" x14ac:dyDescent="0.45">
      <c r="A1217" t="str">
        <f>HYPERLINK("https://leetcode.com/problems/friends-of-appropriate-ages", "825. Friends Of Appropriate Ages")</f>
        <v>825. Friends Of Appropriate Ages</v>
      </c>
      <c r="B1217" t="s">
        <v>7</v>
      </c>
      <c r="C1217" t="s">
        <v>83</v>
      </c>
      <c r="D1217" t="s">
        <v>754</v>
      </c>
    </row>
    <row r="1218" spans="1:4" hidden="1" x14ac:dyDescent="0.45">
      <c r="A1218" t="str">
        <f>HYPERLINK("https://leetcode.com/problems/smallest-subtree-with-all-the-deepest-nodes", "865. Smallest Subtree with all the Deepest Nodes")</f>
        <v>865. Smallest Subtree with all the Deepest Nodes</v>
      </c>
      <c r="B1218" t="s">
        <v>7</v>
      </c>
      <c r="C1218" t="s">
        <v>450</v>
      </c>
      <c r="D1218" t="s">
        <v>754</v>
      </c>
    </row>
    <row r="1219" spans="1:4" hidden="1" x14ac:dyDescent="0.45">
      <c r="A1219" t="str">
        <f>HYPERLINK("https://leetcode.com/problems/check-completeness-of-a-binary-tree", "958. Check Completeness of a Binary Tree")</f>
        <v>958. Check Completeness of a Binary Tree</v>
      </c>
      <c r="B1219" t="s">
        <v>7</v>
      </c>
      <c r="C1219" t="s">
        <v>493</v>
      </c>
      <c r="D1219" t="s">
        <v>754</v>
      </c>
    </row>
    <row r="1220" spans="1:4" hidden="1" x14ac:dyDescent="0.45">
      <c r="A1220" t="str">
        <f>HYPERLINK("https://leetcode.com/problems/missing-element-in-sorted-array", "1060. Missing Element in Sorted Array")</f>
        <v>1060. Missing Element in Sorted Array</v>
      </c>
      <c r="B1220" t="s">
        <v>7</v>
      </c>
      <c r="C1220" t="s">
        <v>172</v>
      </c>
      <c r="D1220" t="s">
        <v>754</v>
      </c>
    </row>
    <row r="1221" spans="1:4" hidden="1" x14ac:dyDescent="0.45">
      <c r="A1221" t="str">
        <f>HYPERLINK("https://leetcode.com/problems/valid-palindrome-iii", "1216. Valid Palindrome III")</f>
        <v>1216. Valid Palindrome III</v>
      </c>
      <c r="B1221" t="s">
        <v>12</v>
      </c>
      <c r="C1221" t="s">
        <v>43</v>
      </c>
      <c r="D1221" t="s">
        <v>754</v>
      </c>
    </row>
    <row r="1222" spans="1:4" hidden="1" x14ac:dyDescent="0.45">
      <c r="A1222" t="str">
        <f>HYPERLINK("https://leetcode.com/problems/diagonal-traverse-ii", "1424. Diagonal Traverse II")</f>
        <v>1424. Diagonal Traverse II</v>
      </c>
      <c r="B1222" t="s">
        <v>7</v>
      </c>
      <c r="C1222" t="s">
        <v>219</v>
      </c>
      <c r="D1222" t="s">
        <v>754</v>
      </c>
    </row>
    <row r="1223" spans="1:4" hidden="1" x14ac:dyDescent="0.45">
      <c r="A1223" t="str">
        <f>HYPERLINK("https://leetcode.com/problems/shortest-path-in-a-hidden-grid", "1778. Shortest Path in a Hidden Grid")</f>
        <v>1778. Shortest Path in a Hidden Grid</v>
      </c>
      <c r="B1223" t="s">
        <v>7</v>
      </c>
      <c r="C1223" t="s">
        <v>283</v>
      </c>
      <c r="D1223" t="s">
        <v>758</v>
      </c>
    </row>
    <row r="1224" spans="1:4" hidden="1" x14ac:dyDescent="0.45">
      <c r="A1224" t="str">
        <f>HYPERLINK("https://leetcode.com/problems/product-of-two-run-length-encoded-arrays", "1868. Product of Two Run-Length Encoded Arrays")</f>
        <v>1868. Product of Two Run-Length Encoded Arrays</v>
      </c>
      <c r="B1224" t="s">
        <v>7</v>
      </c>
      <c r="C1224" t="s">
        <v>270</v>
      </c>
      <c r="D1224" t="s">
        <v>754</v>
      </c>
    </row>
    <row r="1225" spans="1:4" hidden="1" x14ac:dyDescent="0.45">
      <c r="A1225" t="str">
        <f>HYPERLINK("https://leetcode.com/problems/one-edit-distance", "161. One Edit Distance")</f>
        <v>161. One Edit Distance</v>
      </c>
      <c r="B1225" t="s">
        <v>7</v>
      </c>
      <c r="C1225" t="s">
        <v>669</v>
      </c>
      <c r="D1225" t="s">
        <v>754</v>
      </c>
    </row>
    <row r="1226" spans="1:4" hidden="1" x14ac:dyDescent="0.45">
      <c r="A1226" t="str">
        <f>HYPERLINK("https://leetcode.com/problems/binary-tree-paths", "257. Binary Tree Paths")</f>
        <v>257. Binary Tree Paths</v>
      </c>
      <c r="B1226" t="s">
        <v>4</v>
      </c>
      <c r="C1226" t="s">
        <v>30</v>
      </c>
      <c r="D1226" t="s">
        <v>754</v>
      </c>
    </row>
    <row r="1227" spans="1:4" hidden="1" x14ac:dyDescent="0.45">
      <c r="A1227" t="str">
        <f>HYPERLINK("https://leetcode.com/problems/calculate-amount-paid-in-taxes", "2303. Calculate Amount Paid in Taxes")</f>
        <v>2303. Calculate Amount Paid in Taxes</v>
      </c>
      <c r="B1227" t="s">
        <v>4</v>
      </c>
      <c r="C1227" t="s">
        <v>286</v>
      </c>
      <c r="D1227" t="s">
        <v>759</v>
      </c>
    </row>
    <row r="1228" spans="1:4" hidden="1" x14ac:dyDescent="0.45">
      <c r="A1228" t="str">
        <f>HYPERLINK("https://leetcode.com/problems/minimum-path-cost-in-a-hidden-grid", "1810. Minimum Path Cost in a Hidden Grid")</f>
        <v>1810. Minimum Path Cost in a Hidden Grid</v>
      </c>
      <c r="B1228" t="s">
        <v>7</v>
      </c>
      <c r="C1228" t="s">
        <v>345</v>
      </c>
      <c r="D1228" t="s">
        <v>754</v>
      </c>
    </row>
    <row r="1229" spans="1:4" hidden="1" x14ac:dyDescent="0.45">
      <c r="A1229" t="str">
        <f>HYPERLINK("https://leetcode.com/problems/rank-transform-of-an-array", "1331. Rank Transform of an Array")</f>
        <v>1331. Rank Transform of an Array</v>
      </c>
      <c r="B1229" t="s">
        <v>4</v>
      </c>
      <c r="C1229" t="s">
        <v>155</v>
      </c>
      <c r="D1229" t="s">
        <v>754</v>
      </c>
    </row>
    <row r="1230" spans="1:4" hidden="1" x14ac:dyDescent="0.45">
      <c r="A1230" t="str">
        <f>HYPERLINK("https://leetcode.com/problems/lexicographical-numbers", "386. Lexicographical Numbers")</f>
        <v>386. Lexicographical Numbers</v>
      </c>
      <c r="B1230" t="s">
        <v>7</v>
      </c>
      <c r="C1230" t="s">
        <v>443</v>
      </c>
      <c r="D1230" t="s">
        <v>758</v>
      </c>
    </row>
    <row r="1231" spans="1:4" hidden="1" x14ac:dyDescent="0.45">
      <c r="A1231" t="str">
        <f>HYPERLINK("https://leetcode.com/problems/find-the-length-of-the-longest-common-prefix", "3043. Find the Length of the Longest Common Prefix")</f>
        <v>3043. Find the Length of the Longest Common Prefix</v>
      </c>
      <c r="B1231" t="s">
        <v>7</v>
      </c>
      <c r="C1231" t="s">
        <v>760</v>
      </c>
      <c r="D1231" t="s">
        <v>754</v>
      </c>
    </row>
    <row r="1232" spans="1:4" hidden="1" x14ac:dyDescent="0.45">
      <c r="A1232" t="str">
        <f>HYPERLINK("https://leetcode.com/problems/n-queens-ii", "52. N-Queens II")</f>
        <v>52. N-Queens II</v>
      </c>
      <c r="B1232" t="s">
        <v>12</v>
      </c>
      <c r="C1232" t="s">
        <v>292</v>
      </c>
      <c r="D1232" t="s">
        <v>754</v>
      </c>
    </row>
    <row r="1233" spans="1:4" hidden="1" x14ac:dyDescent="0.45">
      <c r="A1233" t="str">
        <f>HYPERLINK("https://leetcode.com/problems/minimum-absolute-difference-in-bst", "530. Minimum Absolute Difference in BST")</f>
        <v>530. Minimum Absolute Difference in BST</v>
      </c>
      <c r="B1233" t="s">
        <v>4</v>
      </c>
      <c r="C1233" t="s">
        <v>75</v>
      </c>
      <c r="D1233" t="s">
        <v>754</v>
      </c>
    </row>
    <row r="1234" spans="1:4" hidden="1" x14ac:dyDescent="0.45">
      <c r="A1234" t="str">
        <f>HYPERLINK("https://leetcode.com/problems/search-in-a-binary-search-tree", "700. Search in a Binary Search Tree")</f>
        <v>700. Search in a Binary Search Tree</v>
      </c>
      <c r="B1234" t="s">
        <v>4</v>
      </c>
      <c r="C1234" t="s">
        <v>620</v>
      </c>
      <c r="D1234" t="s">
        <v>754</v>
      </c>
    </row>
    <row r="1235" spans="1:4" hidden="1" x14ac:dyDescent="0.45">
      <c r="A1235" t="str">
        <f>HYPERLINK("https://leetcode.com/problems/lowest-common-ancestor-of-a-binary-tree-ii", "1644. Lowest Common Ancestor of a Binary Tree II")</f>
        <v>1644. Lowest Common Ancestor of a Binary Tree II</v>
      </c>
      <c r="B1235" t="s">
        <v>7</v>
      </c>
      <c r="C1235" t="s">
        <v>381</v>
      </c>
      <c r="D1235" t="s">
        <v>754</v>
      </c>
    </row>
    <row r="1236" spans="1:4" hidden="1" x14ac:dyDescent="0.45">
      <c r="A1236" t="str">
        <f>HYPERLINK("https://leetcode.com/problems/k-radius-subarray-averages", "2090. K Radius Subarray Averages")</f>
        <v>2090. K Radius Subarray Averages</v>
      </c>
      <c r="B1236" t="s">
        <v>7</v>
      </c>
      <c r="C1236" t="s">
        <v>761</v>
      </c>
      <c r="D1236" t="s">
        <v>754</v>
      </c>
    </row>
    <row r="1237" spans="1:4" hidden="1" x14ac:dyDescent="0.45">
      <c r="A1237" t="str">
        <f>HYPERLINK("https://leetcode.com/problems/minimum-moves-to-equal-array-elements", "453. Minimum Moves to Equal Array Elements")</f>
        <v>453. Minimum Moves to Equal Array Elements</v>
      </c>
      <c r="B1237" t="s">
        <v>7</v>
      </c>
      <c r="C1237" t="s">
        <v>261</v>
      </c>
      <c r="D1237" t="s">
        <v>754</v>
      </c>
    </row>
    <row r="1238" spans="1:4" hidden="1" x14ac:dyDescent="0.45">
      <c r="A1238" t="str">
        <f>HYPERLINK("https://leetcode.com/problems/cutting-ribbons", "1891. Cutting Ribbons")</f>
        <v>1891. Cutting Ribbons</v>
      </c>
      <c r="B1238" t="s">
        <v>7</v>
      </c>
      <c r="C1238" t="s">
        <v>47</v>
      </c>
      <c r="D1238" t="s">
        <v>754</v>
      </c>
    </row>
    <row r="1239" spans="1:4" hidden="1" x14ac:dyDescent="0.45">
      <c r="A1239" t="str">
        <f>HYPERLINK("https://leetcode.com/problems/binary-tree-pruning", "814. Binary Tree Pruning")</f>
        <v>814. Binary Tree Pruning</v>
      </c>
      <c r="B1239" t="s">
        <v>7</v>
      </c>
      <c r="C1239" t="s">
        <v>450</v>
      </c>
      <c r="D1239" t="s">
        <v>754</v>
      </c>
    </row>
    <row r="1240" spans="1:4" hidden="1" x14ac:dyDescent="0.45">
      <c r="A1240" t="str">
        <f>HYPERLINK("https://leetcode.com/problems/add-bold-tag-in-string", "616. Add Bold Tag in String")</f>
        <v>616. Add Bold Tag in String</v>
      </c>
      <c r="B1240" t="s">
        <v>7</v>
      </c>
      <c r="C1240" t="s">
        <v>556</v>
      </c>
      <c r="D1240" t="s">
        <v>754</v>
      </c>
    </row>
    <row r="1241" spans="1:4" hidden="1" x14ac:dyDescent="0.45">
      <c r="A1241" t="str">
        <f>HYPERLINK("https://leetcode.com/problems/add-two-promises", "2723. Add Two Promises")</f>
        <v>2723. Add Two Promises</v>
      </c>
      <c r="B1241" t="s">
        <v>4</v>
      </c>
      <c r="C1241" t="s">
        <v>762</v>
      </c>
      <c r="D1241" t="s">
        <v>754</v>
      </c>
    </row>
    <row r="1242" spans="1:4" hidden="1" x14ac:dyDescent="0.45">
      <c r="A1242" t="str">
        <f>HYPERLINK("https://leetcode.com/problems/inorder-successor-in-bst-ii", "510. Inorder Successor in BST II")</f>
        <v>510. Inorder Successor in BST II</v>
      </c>
      <c r="B1242" t="s">
        <v>7</v>
      </c>
      <c r="C1242" t="s">
        <v>373</v>
      </c>
      <c r="D1242" t="s">
        <v>754</v>
      </c>
    </row>
    <row r="1243" spans="1:4" hidden="1" x14ac:dyDescent="0.45">
      <c r="A1243" t="str">
        <f>HYPERLINK("https://leetcode.com/problems/number-of-common-factors", "2427. Number of Common Factors")</f>
        <v>2427. Number of Common Factors</v>
      </c>
      <c r="B1243" t="s">
        <v>4</v>
      </c>
      <c r="C1243" t="s">
        <v>571</v>
      </c>
      <c r="D1243" t="s">
        <v>754</v>
      </c>
    </row>
    <row r="1244" spans="1:4" hidden="1" x14ac:dyDescent="0.45">
      <c r="A1244" t="str">
        <f>HYPERLINK("https://leetcode.com/problems/balance-a-binary-search-tree", "1382. Balance a Binary Search Tree")</f>
        <v>1382. Balance a Binary Search Tree</v>
      </c>
      <c r="B1244" t="s">
        <v>7</v>
      </c>
      <c r="C1244" t="s">
        <v>452</v>
      </c>
      <c r="D1244" t="s">
        <v>754</v>
      </c>
    </row>
    <row r="1245" spans="1:4" hidden="1" x14ac:dyDescent="0.45">
      <c r="A1245" t="str">
        <f>HYPERLINK("https://leetcode.com/problems/score-of-parentheses", "856. Score of Parentheses")</f>
        <v>856. Score of Parentheses</v>
      </c>
      <c r="B1245" t="s">
        <v>7</v>
      </c>
      <c r="C1245" t="s">
        <v>353</v>
      </c>
      <c r="D1245" t="s">
        <v>754</v>
      </c>
    </row>
    <row r="1246" spans="1:4" hidden="1" x14ac:dyDescent="0.45">
      <c r="A1246" t="str">
        <f>HYPERLINK("https://leetcode.com/problems/maximum-level-sum-of-a-binary-tree", "1161. Maximum Level Sum of a Binary Tree")</f>
        <v>1161. Maximum Level Sum of a Binary Tree</v>
      </c>
      <c r="B1246" t="s">
        <v>7</v>
      </c>
      <c r="C1246" t="s">
        <v>636</v>
      </c>
      <c r="D1246" t="s">
        <v>754</v>
      </c>
    </row>
    <row r="1247" spans="1:4" hidden="1" x14ac:dyDescent="0.45">
      <c r="A1247" t="str">
        <f>HYPERLINK("https://leetcode.com/problems/strobogrammatic-number-ii", "247. Strobogrammatic Number II")</f>
        <v>247. Strobogrammatic Number II</v>
      </c>
      <c r="B1247" t="s">
        <v>7</v>
      </c>
      <c r="C1247" t="s">
        <v>244</v>
      </c>
      <c r="D1247" t="s">
        <v>754</v>
      </c>
    </row>
    <row r="1248" spans="1:4" hidden="1" x14ac:dyDescent="0.45">
      <c r="A1248" t="str">
        <f>HYPERLINK("https://leetcode.com/problems/two-city-scheduling", "1029. Two City Scheduling")</f>
        <v>1029. Two City Scheduling</v>
      </c>
      <c r="B1248" t="s">
        <v>7</v>
      </c>
      <c r="C1248" t="s">
        <v>235</v>
      </c>
      <c r="D1248" t="s">
        <v>758</v>
      </c>
    </row>
    <row r="1249" spans="1:4" hidden="1" x14ac:dyDescent="0.45">
      <c r="A1249" t="str">
        <f>HYPERLINK("https://leetcode.com/problems/longest-absolute-file-path", "388. Longest Absolute File Path")</f>
        <v>388. Longest Absolute File Path</v>
      </c>
      <c r="B1249" t="s">
        <v>7</v>
      </c>
      <c r="C1249" t="s">
        <v>262</v>
      </c>
      <c r="D1249" t="s">
        <v>754</v>
      </c>
    </row>
    <row r="1250" spans="1:4" hidden="1" x14ac:dyDescent="0.45">
      <c r="A1250" t="str">
        <f>HYPERLINK("https://leetcode.com/problems/number-of-laser-beams-in-a-bank", "2125. Number of Laser Beams in a Bank")</f>
        <v>2125. Number of Laser Beams in a Bank</v>
      </c>
      <c r="B1250" t="s">
        <v>7</v>
      </c>
      <c r="C1250" t="s">
        <v>531</v>
      </c>
      <c r="D1250" t="s">
        <v>754</v>
      </c>
    </row>
    <row r="1251" spans="1:4" hidden="1" x14ac:dyDescent="0.45">
      <c r="A1251" t="str">
        <f>HYPERLINK("https://leetcode.com/problems/determine-whether-matrix-can-be-obtained-by-rotation", "1886. Determine Whether Matrix Can Be Obtained By Rotation")</f>
        <v>1886. Determine Whether Matrix Can Be Obtained By Rotation</v>
      </c>
      <c r="B1251" t="s">
        <v>4</v>
      </c>
      <c r="C1251" t="s">
        <v>219</v>
      </c>
      <c r="D1251" t="s">
        <v>754</v>
      </c>
    </row>
    <row r="1252" spans="1:4" hidden="1" x14ac:dyDescent="0.45">
      <c r="A1252" t="str">
        <f>HYPERLINK("https://leetcode.com/problems/equal-row-and-column-pairs", "2352. Equal Row and Column Pairs")</f>
        <v>2352. Equal Row and Column Pairs</v>
      </c>
      <c r="B1252" t="s">
        <v>7</v>
      </c>
      <c r="C1252" t="s">
        <v>498</v>
      </c>
      <c r="D1252" t="s">
        <v>754</v>
      </c>
    </row>
    <row r="1253" spans="1:4" hidden="1" x14ac:dyDescent="0.45">
      <c r="A1253" t="str">
        <f>HYPERLINK("https://leetcode.com/problems/number-of-zero-filled-subarrays", "2348. Number of Zero-Filled Subarrays")</f>
        <v>2348. Number of Zero-Filled Subarrays</v>
      </c>
      <c r="B1253" t="s">
        <v>7</v>
      </c>
      <c r="C1253" t="s">
        <v>174</v>
      </c>
      <c r="D1253" t="s">
        <v>754</v>
      </c>
    </row>
    <row r="1254" spans="1:4" hidden="1" x14ac:dyDescent="0.45">
      <c r="A1254" t="str">
        <f>HYPERLINK("https://leetcode.com/problems/spiral-matrix-iv", "2326. Spiral Matrix IV")</f>
        <v>2326. Spiral Matrix IV</v>
      </c>
      <c r="B1254" t="s">
        <v>7</v>
      </c>
      <c r="C1254" t="s">
        <v>475</v>
      </c>
      <c r="D1254" t="s">
        <v>754</v>
      </c>
    </row>
    <row r="1255" spans="1:4" hidden="1" x14ac:dyDescent="0.45">
      <c r="A1255" t="str">
        <f>HYPERLINK("https://leetcode.com/problems/find-common-elements-between-two-arrays", "2956. Find Common Elements Between Two Arrays")</f>
        <v>2956. Find Common Elements Between Two Arrays</v>
      </c>
      <c r="B1255" t="s">
        <v>4</v>
      </c>
      <c r="C1255" t="s">
        <v>763</v>
      </c>
      <c r="D1255" t="s">
        <v>754</v>
      </c>
    </row>
    <row r="1256" spans="1:4" hidden="1" x14ac:dyDescent="0.45">
      <c r="A1256" t="str">
        <f>HYPERLINK("https://leetcode.com/problems/maximum-and-minimum-sums-of-at-most-size-k-subsequences", "3428. Maximum and Minimum Sums of at Most Size K Subsequences")</f>
        <v>3428. Maximum and Minimum Sums of at Most Size K Subsequences</v>
      </c>
      <c r="B1256" t="s">
        <v>7</v>
      </c>
      <c r="C1256" t="s">
        <v>764</v>
      </c>
      <c r="D1256" t="s">
        <v>754</v>
      </c>
    </row>
    <row r="1257" spans="1:4" hidden="1" x14ac:dyDescent="0.45">
      <c r="A1257" t="str">
        <f>HYPERLINK("https://leetcode.com/problems/length-of-the-longest-subsequence-that-sums-to-target", "2915. Length of the Longest Subsequence That Sums to Target")</f>
        <v>2915. Length of the Longest Subsequence That Sums to Target</v>
      </c>
      <c r="B1257" t="s">
        <v>7</v>
      </c>
      <c r="C1257" t="s">
        <v>682</v>
      </c>
      <c r="D1257" t="s">
        <v>754</v>
      </c>
    </row>
    <row r="1258" spans="1:4" hidden="1" x14ac:dyDescent="0.45">
      <c r="A1258" t="str">
        <f>HYPERLINK("https://leetcode.com/problems/count-good-nodes-in-binary-tree", "1448. Count Good Nodes in Binary Tree")</f>
        <v>1448. Count Good Nodes in Binary Tree</v>
      </c>
      <c r="B1258" t="s">
        <v>7</v>
      </c>
      <c r="C1258" t="s">
        <v>714</v>
      </c>
      <c r="D1258" t="s">
        <v>754</v>
      </c>
    </row>
    <row r="1259" spans="1:4" hidden="1" x14ac:dyDescent="0.45">
      <c r="A1259" t="str">
        <f>HYPERLINK("https://leetcode.com/problems/maximum-vacation-days", "568. Maximum Vacation Days")</f>
        <v>568. Maximum Vacation Days</v>
      </c>
      <c r="B1259" t="s">
        <v>12</v>
      </c>
      <c r="C1259" t="s">
        <v>632</v>
      </c>
      <c r="D1259" t="s">
        <v>754</v>
      </c>
    </row>
    <row r="1260" spans="1:4" hidden="1" x14ac:dyDescent="0.45">
      <c r="A1260" t="str">
        <f>HYPERLINK("https://leetcode.com/problems/find-duplicate-file-in-system", "609. Find Duplicate File in System")</f>
        <v>609. Find Duplicate File in System</v>
      </c>
      <c r="B1260" t="s">
        <v>7</v>
      </c>
      <c r="C1260" t="s">
        <v>490</v>
      </c>
      <c r="D1260" t="s">
        <v>754</v>
      </c>
    </row>
    <row r="1261" spans="1:4" hidden="1" x14ac:dyDescent="0.45">
      <c r="A1261" t="str">
        <f>HYPERLINK("https://leetcode.com/problems/sign-of-the-product-of-an-array", "1822. Sign of the Product of an Array")</f>
        <v>1822. Sign of the Product of an Array</v>
      </c>
      <c r="B1261" t="s">
        <v>4</v>
      </c>
      <c r="C1261" t="s">
        <v>379</v>
      </c>
      <c r="D1261" t="s">
        <v>754</v>
      </c>
    </row>
    <row r="1262" spans="1:4" hidden="1" x14ac:dyDescent="0.45">
      <c r="A1262" t="str">
        <f>HYPERLINK("https://leetcode.com/problems/similar-string-groups", "839. Similar String Groups")</f>
        <v>839. Similar String Groups</v>
      </c>
      <c r="B1262" t="s">
        <v>12</v>
      </c>
      <c r="C1262" t="s">
        <v>413</v>
      </c>
      <c r="D1262" t="s">
        <v>754</v>
      </c>
    </row>
    <row r="1263" spans="1:4" hidden="1" x14ac:dyDescent="0.45">
      <c r="A1263" t="str">
        <f>HYPERLINK("https://leetcode.com/problems/minimum-distance-between-bst-nodes", "783. Minimum Distance Between BST Nodes")</f>
        <v>783. Minimum Distance Between BST Nodes</v>
      </c>
      <c r="B1263" t="s">
        <v>4</v>
      </c>
      <c r="C1263" t="s">
        <v>447</v>
      </c>
      <c r="D1263" t="s">
        <v>754</v>
      </c>
    </row>
    <row r="1264" spans="1:4" hidden="1" x14ac:dyDescent="0.45">
      <c r="A1264" t="str">
        <f>HYPERLINK("https://leetcode.com/problems/friend-requests-ii:-who-has-the-most-friends", "602. Friend Requests II: Who Has the Most Friends")</f>
        <v>602. Friend Requests II: Who Has the Most Friends</v>
      </c>
      <c r="B1264" t="s">
        <v>7</v>
      </c>
      <c r="C1264" t="s">
        <v>518</v>
      </c>
      <c r="D1264" t="s">
        <v>754</v>
      </c>
    </row>
    <row r="1265" spans="1:4" hidden="1" x14ac:dyDescent="0.45">
      <c r="A1265" t="str">
        <f>HYPERLINK("https://leetcode.com/problems/rank-transform-of-a-matrix", "1632. Rank Transform of a Matrix")</f>
        <v>1632. Rank Transform of a Matrix</v>
      </c>
      <c r="B1265" t="s">
        <v>12</v>
      </c>
      <c r="C1265" t="s">
        <v>151</v>
      </c>
      <c r="D1265" t="s">
        <v>754</v>
      </c>
    </row>
    <row r="1266" spans="1:4" hidden="1" x14ac:dyDescent="0.45">
      <c r="A1266" t="str">
        <f>HYPERLINK("https://leetcode.com/problems/range-sum-query-2d---immutable", "304. Range Sum Query 2D - Immutable")</f>
        <v>304. Range Sum Query 2D - Immutable</v>
      </c>
      <c r="B1266" t="s">
        <v>7</v>
      </c>
      <c r="C1266" t="s">
        <v>21</v>
      </c>
      <c r="D1266" t="s">
        <v>758</v>
      </c>
    </row>
    <row r="1267" spans="1:4" hidden="1" x14ac:dyDescent="0.45">
      <c r="A1267" t="str">
        <f>HYPERLINK("https://leetcode.com/problems/add-to-array-form-of-integer", "989. Add to Array-Form of Integer")</f>
        <v>989. Add to Array-Form of Integer</v>
      </c>
      <c r="B1267" t="s">
        <v>4</v>
      </c>
      <c r="C1267" t="s">
        <v>279</v>
      </c>
      <c r="D1267" t="s">
        <v>758</v>
      </c>
    </row>
    <row r="1268" spans="1:4" hidden="1" x14ac:dyDescent="0.45">
      <c r="A1268" t="str">
        <f>HYPERLINK("https://leetcode.com/problems/max-consecutive-ones-ii", "487. Max Consecutive Ones II")</f>
        <v>487. Max Consecutive Ones II</v>
      </c>
      <c r="B1268" t="s">
        <v>7</v>
      </c>
      <c r="C1268" t="s">
        <v>437</v>
      </c>
      <c r="D1268" t="s">
        <v>754</v>
      </c>
    </row>
    <row r="1269" spans="1:4" hidden="1" x14ac:dyDescent="0.45">
      <c r="A1269" t="str">
        <f>HYPERLINK("https://leetcode.com/problems/self-dividing-numbers", "728. Self Dividing Numbers")</f>
        <v>728. Self Dividing Numbers</v>
      </c>
      <c r="B1269" t="s">
        <v>4</v>
      </c>
      <c r="C1269" t="s">
        <v>494</v>
      </c>
      <c r="D1269" t="s">
        <v>754</v>
      </c>
    </row>
    <row r="1270" spans="1:4" hidden="1" x14ac:dyDescent="0.45">
      <c r="A1270" t="str">
        <f>HYPERLINK("https://leetcode.com/problems/longest-duplicate-substring", "1044. Longest Duplicate Substring")</f>
        <v>1044. Longest Duplicate Substring</v>
      </c>
      <c r="B1270" t="s">
        <v>12</v>
      </c>
      <c r="C1270" t="s">
        <v>765</v>
      </c>
      <c r="D1270" t="s">
        <v>754</v>
      </c>
    </row>
    <row r="1271" spans="1:4" hidden="1" x14ac:dyDescent="0.45">
      <c r="A1271" t="str">
        <f>HYPERLINK("https://leetcode.com/problems/leaf-similar-trees", "872. Leaf-Similar Trees")</f>
        <v>872. Leaf-Similar Trees</v>
      </c>
      <c r="B1271" t="s">
        <v>4</v>
      </c>
      <c r="C1271" t="s">
        <v>445</v>
      </c>
      <c r="D1271" t="s">
        <v>754</v>
      </c>
    </row>
    <row r="1272" spans="1:4" hidden="1" x14ac:dyDescent="0.45">
      <c r="A1272" t="str">
        <f>HYPERLINK("https://leetcode.com/problems/longest-continuous-increasing-subsequence", "674. Longest Continuous Increasing Subsequence")</f>
        <v>674. Longest Continuous Increasing Subsequence</v>
      </c>
      <c r="B1272" t="s">
        <v>4</v>
      </c>
      <c r="C1272" t="s">
        <v>271</v>
      </c>
      <c r="D1272" t="s">
        <v>754</v>
      </c>
    </row>
    <row r="1273" spans="1:4" hidden="1" x14ac:dyDescent="0.45">
      <c r="A1273" t="str">
        <f>HYPERLINK("https://leetcode.com/problems/check-if-two-string-arrays-are-equivalent", "1662. Check If Two String Arrays are Equivalent")</f>
        <v>1662. Check If Two String Arrays are Equivalent</v>
      </c>
      <c r="B1273" t="s">
        <v>4</v>
      </c>
      <c r="C1273" t="s">
        <v>709</v>
      </c>
      <c r="D1273" t="s">
        <v>754</v>
      </c>
    </row>
    <row r="1274" spans="1:4" hidden="1" x14ac:dyDescent="0.45">
      <c r="A1274" t="str">
        <f>HYPERLINK("https://leetcode.com/problems/all-ancestors-of-a-node-in-a-directed-acyclic-graph", "2192. All Ancestors of a Node in a Directed Acyclic Graph")</f>
        <v>2192. All Ancestors of a Node in a Directed Acyclic Graph</v>
      </c>
      <c r="B1274" t="s">
        <v>7</v>
      </c>
      <c r="C1274" t="s">
        <v>141</v>
      </c>
      <c r="D1274" t="s">
        <v>754</v>
      </c>
    </row>
    <row r="1275" spans="1:4" hidden="1" x14ac:dyDescent="0.45">
      <c r="A1275" t="str">
        <f>HYPERLINK("https://leetcode.com/problems/mini-parser", "385. Mini Parser")</f>
        <v>385. Mini Parser</v>
      </c>
      <c r="B1275" t="s">
        <v>7</v>
      </c>
      <c r="C1275" t="s">
        <v>708</v>
      </c>
      <c r="D1275" t="s">
        <v>754</v>
      </c>
    </row>
    <row r="1276" spans="1:4" hidden="1" x14ac:dyDescent="0.45">
      <c r="A1276" t="str">
        <f>HYPERLINK("https://leetcode.com/problems/maximum-population-year", "1854. Maximum Population Year")</f>
        <v>1854. Maximum Population Year</v>
      </c>
      <c r="B1276" t="s">
        <v>4</v>
      </c>
      <c r="C1276" t="s">
        <v>129</v>
      </c>
      <c r="D1276" t="s">
        <v>754</v>
      </c>
    </row>
    <row r="1277" spans="1:4" hidden="1" x14ac:dyDescent="0.45">
      <c r="A1277" t="str">
        <f>HYPERLINK("https://leetcode.com/problems/beautiful-array", "932. Beautiful Array")</f>
        <v>932. Beautiful Array</v>
      </c>
      <c r="B1277" t="s">
        <v>7</v>
      </c>
      <c r="C1277" t="s">
        <v>127</v>
      </c>
      <c r="D1277" t="s">
        <v>754</v>
      </c>
    </row>
    <row r="1278" spans="1:4" hidden="1" x14ac:dyDescent="0.45">
      <c r="A1278" t="str">
        <f>HYPERLINK("https://leetcode.com/problems/find-users-with-valid-e-mails", "1517. Find Users With Valid E-Mails")</f>
        <v>1517. Find Users With Valid E-Mails</v>
      </c>
      <c r="B1278" t="s">
        <v>4</v>
      </c>
      <c r="C1278" t="s">
        <v>607</v>
      </c>
      <c r="D1278" t="s">
        <v>754</v>
      </c>
    </row>
    <row r="1279" spans="1:4" hidden="1" x14ac:dyDescent="0.45">
      <c r="A1279" t="str">
        <f>HYPERLINK("https://leetcode.com/problems/construct-string-from-binary-tree", "606. Construct String from Binary Tree")</f>
        <v>606. Construct String from Binary Tree</v>
      </c>
      <c r="B1279" t="s">
        <v>7</v>
      </c>
      <c r="C1279" t="s">
        <v>247</v>
      </c>
      <c r="D1279" t="s">
        <v>754</v>
      </c>
    </row>
    <row r="1280" spans="1:4" hidden="1" x14ac:dyDescent="0.45">
      <c r="A1280" t="str">
        <f>HYPERLINK("https://leetcode.com/problems/letter-case-permutation", "784. Letter Case Permutation")</f>
        <v>784. Letter Case Permutation</v>
      </c>
      <c r="B1280" t="s">
        <v>7</v>
      </c>
      <c r="C1280" t="s">
        <v>580</v>
      </c>
      <c r="D1280" t="s">
        <v>754</v>
      </c>
    </row>
    <row r="1281" spans="1:4" hidden="1" x14ac:dyDescent="0.45">
      <c r="A1281" t="str">
        <f>HYPERLINK("https://leetcode.com/problems/flatten-deeply-nested-array", "2625. Flatten Deeply Nested Array")</f>
        <v>2625. Flatten Deeply Nested Array</v>
      </c>
      <c r="B1281" t="s">
        <v>7</v>
      </c>
      <c r="C1281" t="s">
        <v>513</v>
      </c>
      <c r="D1281" t="s">
        <v>754</v>
      </c>
    </row>
    <row r="1282" spans="1:4" hidden="1" x14ac:dyDescent="0.45">
      <c r="A1282" t="str">
        <f>HYPERLINK("https://leetcode.com/problems/generate-random-point-in-a-circle", "478. Generate Random Point in a Circle")</f>
        <v>478. Generate Random Point in a Circle</v>
      </c>
      <c r="B1282" t="s">
        <v>7</v>
      </c>
      <c r="C1282" t="s">
        <v>471</v>
      </c>
      <c r="D1282" t="s">
        <v>754</v>
      </c>
    </row>
    <row r="1283" spans="1:4" hidden="1" x14ac:dyDescent="0.45">
      <c r="A1283" t="str">
        <f>HYPERLINK("https://leetcode.com/problems/remove-boxes", "546. Remove Boxes")</f>
        <v>546. Remove Boxes</v>
      </c>
      <c r="B1283" t="s">
        <v>12</v>
      </c>
      <c r="C1283" t="s">
        <v>262</v>
      </c>
      <c r="D1283" t="s">
        <v>754</v>
      </c>
    </row>
    <row r="1284" spans="1:4" hidden="1" x14ac:dyDescent="0.45">
      <c r="A1284" t="str">
        <f>HYPERLINK("https://leetcode.com/problems/minimum-average-difference", "2256. Minimum Average Difference")</f>
        <v>2256. Minimum Average Difference</v>
      </c>
      <c r="B1284" t="s">
        <v>7</v>
      </c>
      <c r="C1284" t="s">
        <v>536</v>
      </c>
      <c r="D1284" t="s">
        <v>754</v>
      </c>
    </row>
    <row r="1285" spans="1:4" hidden="1" x14ac:dyDescent="0.45">
      <c r="A1285" t="str">
        <f>HYPERLINK("https://leetcode.com/problems/longest-palindrome-after-substring-concatenation-i", "3503. Longest Palindrome After Substring Concatenation I")</f>
        <v>3503. Longest Palindrome After Substring Concatenation I</v>
      </c>
      <c r="B1285" t="s">
        <v>7</v>
      </c>
      <c r="C1285" t="s">
        <v>536</v>
      </c>
      <c r="D1285" t="s">
        <v>754</v>
      </c>
    </row>
    <row r="1286" spans="1:4" hidden="1" x14ac:dyDescent="0.45">
      <c r="A1286" t="str">
        <f>HYPERLINK("https://leetcode.com/problems/count-special-quadruplets", "1995. Count Special Quadruplets")</f>
        <v>1995. Count Special Quadruplets</v>
      </c>
      <c r="B1286" t="s">
        <v>4</v>
      </c>
      <c r="C1286" t="s">
        <v>73</v>
      </c>
      <c r="D1286" t="s">
        <v>754</v>
      </c>
    </row>
    <row r="1287" spans="1:4" hidden="1" x14ac:dyDescent="0.45">
      <c r="A1287" t="str">
        <f>HYPERLINK("https://leetcode.com/problems/number-of-valid-words-in-a-sentence", "2047. Number of Valid Words in a Sentence")</f>
        <v>2047. Number of Valid Words in a Sentence</v>
      </c>
      <c r="B1287" t="s">
        <v>4</v>
      </c>
      <c r="C1287" t="s">
        <v>766</v>
      </c>
      <c r="D1287" t="s">
        <v>754</v>
      </c>
    </row>
    <row r="1288" spans="1:4" hidden="1" x14ac:dyDescent="0.45">
      <c r="A1288" t="str">
        <f>HYPERLINK("https://leetcode.com/problems/check-if-an-original-string-exists-given-two-encoded-strings", "2060. Check if an Original String Exists Given Two Encoded Strings")</f>
        <v>2060. Check if an Original String Exists Given Two Encoded Strings</v>
      </c>
      <c r="B1288" t="s">
        <v>12</v>
      </c>
      <c r="C1288" t="s">
        <v>767</v>
      </c>
      <c r="D1288" t="s">
        <v>754</v>
      </c>
    </row>
    <row r="1289" spans="1:4" hidden="1" x14ac:dyDescent="0.45">
      <c r="A1289" t="str">
        <f>HYPERLINK("https://leetcode.com/problems/count-vowel-substrings-of-a-string", "2062. Count Vowel Substrings of a String")</f>
        <v>2062. Count Vowel Substrings of a String</v>
      </c>
      <c r="B1289" t="s">
        <v>4</v>
      </c>
      <c r="C1289" t="s">
        <v>378</v>
      </c>
      <c r="D1289" t="s">
        <v>768</v>
      </c>
    </row>
    <row r="1290" spans="1:4" hidden="1" x14ac:dyDescent="0.45">
      <c r="A1290" t="str">
        <f>HYPERLINK("https://leetcode.com/problems/design-authentication-manager", "1797. Design Authentication Manager")</f>
        <v>1797. Design Authentication Manager</v>
      </c>
      <c r="B1290" t="s">
        <v>7</v>
      </c>
      <c r="C1290" t="s">
        <v>370</v>
      </c>
      <c r="D1290" t="s">
        <v>768</v>
      </c>
    </row>
    <row r="1291" spans="1:4" hidden="1" x14ac:dyDescent="0.45">
      <c r="A1291" t="str">
        <f>HYPERLINK("https://leetcode.com/problems/find-valid-pair-of-adjacent-digits-in-string", "3438. Find Valid Pair of Adjacent Digits in String")</f>
        <v>3438. Find Valid Pair of Adjacent Digits in String</v>
      </c>
      <c r="B1291" t="s">
        <v>4</v>
      </c>
      <c r="C1291" t="s">
        <v>544</v>
      </c>
      <c r="D1291" t="s">
        <v>768</v>
      </c>
    </row>
    <row r="1292" spans="1:4" hidden="1" x14ac:dyDescent="0.45">
      <c r="A1292" t="str">
        <f>HYPERLINK("https://leetcode.com/problems/maximize-greatness-of-an-array", "2592. Maximize Greatness of an Array")</f>
        <v>2592. Maximize Greatness of an Array</v>
      </c>
      <c r="B1292" t="s">
        <v>7</v>
      </c>
      <c r="C1292" t="s">
        <v>345</v>
      </c>
      <c r="D1292" t="s">
        <v>768</v>
      </c>
    </row>
    <row r="1293" spans="1:4" hidden="1" x14ac:dyDescent="0.45">
      <c r="A1293" t="str">
        <f>HYPERLINK("https://leetcode.com/problems/cache-with-time-limit", "2622. Cache With Time Limit")</f>
        <v>2622. Cache With Time Limit</v>
      </c>
      <c r="B1293" t="s">
        <v>7</v>
      </c>
      <c r="C1293" t="s">
        <v>196</v>
      </c>
      <c r="D1293" t="s">
        <v>768</v>
      </c>
    </row>
    <row r="1294" spans="1:4" hidden="1" x14ac:dyDescent="0.45">
      <c r="A1294" t="str">
        <f>HYPERLINK("https://leetcode.com/problems/pour-water", "755. Pour Water")</f>
        <v>755. Pour Water</v>
      </c>
      <c r="B1294" t="s">
        <v>7</v>
      </c>
      <c r="C1294" t="s">
        <v>769</v>
      </c>
      <c r="D1294" t="s">
        <v>768</v>
      </c>
    </row>
    <row r="1295" spans="1:4" hidden="1" x14ac:dyDescent="0.45">
      <c r="A1295" t="str">
        <f>HYPERLINK("https://leetcode.com/problems/reverse-substrings-between-each-pair-of-parentheses", "1190. Reverse Substrings Between Each Pair of Parentheses")</f>
        <v>1190. Reverse Substrings Between Each Pair of Parentheses</v>
      </c>
      <c r="B1295" t="s">
        <v>7</v>
      </c>
      <c r="C1295" t="s">
        <v>193</v>
      </c>
      <c r="D1295" t="s">
        <v>770</v>
      </c>
    </row>
    <row r="1296" spans="1:4" hidden="1" x14ac:dyDescent="0.45">
      <c r="A1296" t="str">
        <f>HYPERLINK("https://leetcode.com/problems/count-unhappy-friends", "1583. Count Unhappy Friends")</f>
        <v>1583. Count Unhappy Friends</v>
      </c>
      <c r="B1296" t="s">
        <v>7</v>
      </c>
      <c r="C1296" t="s">
        <v>141</v>
      </c>
      <c r="D1296" t="s">
        <v>770</v>
      </c>
    </row>
    <row r="1297" spans="1:4" hidden="1" x14ac:dyDescent="0.45">
      <c r="A1297" t="str">
        <f>HYPERLINK("https://leetcode.com/problems/number-of-ships-in-a-rectangle", "1274. Number of Ships in a Rectangle")</f>
        <v>1274. Number of Ships in a Rectangle</v>
      </c>
      <c r="B1297" t="s">
        <v>12</v>
      </c>
      <c r="C1297" t="s">
        <v>504</v>
      </c>
      <c r="D1297" t="s">
        <v>770</v>
      </c>
    </row>
    <row r="1298" spans="1:4" hidden="1" x14ac:dyDescent="0.45">
      <c r="A1298" t="str">
        <f>HYPERLINK("https://leetcode.com/problems/design-an-ordered-stream", "1656. Design an Ordered Stream")</f>
        <v>1656. Design an Ordered Stream</v>
      </c>
      <c r="B1298" t="s">
        <v>4</v>
      </c>
      <c r="C1298" t="s">
        <v>335</v>
      </c>
      <c r="D1298" t="s">
        <v>770</v>
      </c>
    </row>
    <row r="1299" spans="1:4" hidden="1" x14ac:dyDescent="0.45">
      <c r="A1299" t="str">
        <f>HYPERLINK("https://leetcode.com/problems/design-a-todo-list", "2590. Design a Todo List")</f>
        <v>2590. Design a Todo List</v>
      </c>
      <c r="B1299" t="s">
        <v>7</v>
      </c>
      <c r="C1299" t="s">
        <v>591</v>
      </c>
      <c r="D1299" t="s">
        <v>770</v>
      </c>
    </row>
    <row r="1300" spans="1:4" hidden="1" x14ac:dyDescent="0.45">
      <c r="A1300" t="str">
        <f>HYPERLINK("https://leetcode.com/problems/minimum-number-of-removals-to-make-mountain-array", "1671. Minimum Number of Removals to Make Mountain Array")</f>
        <v>1671. Minimum Number of Removals to Make Mountain Array</v>
      </c>
      <c r="B1300" t="s">
        <v>12</v>
      </c>
      <c r="C1300" t="s">
        <v>258</v>
      </c>
      <c r="D1300" t="s">
        <v>770</v>
      </c>
    </row>
    <row r="1301" spans="1:4" hidden="1" x14ac:dyDescent="0.45">
      <c r="A1301" t="str">
        <f>HYPERLINK("https://leetcode.com/problems/sort-integers-by-the-power-value", "1387. Sort Integers by The Power Value")</f>
        <v>1387. Sort Integers by The Power Value</v>
      </c>
      <c r="B1301" t="s">
        <v>7</v>
      </c>
      <c r="C1301" t="s">
        <v>155</v>
      </c>
      <c r="D1301" t="s">
        <v>770</v>
      </c>
    </row>
    <row r="1302" spans="1:4" hidden="1" x14ac:dyDescent="0.45">
      <c r="A1302" t="str">
        <f>HYPERLINK("https://leetcode.com/problems/maximum-xor-for-each-query", "1829. Maximum XOR for Each Query")</f>
        <v>1829. Maximum XOR for Each Query</v>
      </c>
      <c r="B1302" t="s">
        <v>7</v>
      </c>
      <c r="C1302" t="s">
        <v>576</v>
      </c>
      <c r="D1302" t="s">
        <v>770</v>
      </c>
    </row>
    <row r="1303" spans="1:4" hidden="1" x14ac:dyDescent="0.45">
      <c r="A1303" t="str">
        <f>HYPERLINK("https://leetcode.com/problems/complement-of-base-10-integer", "1009. Complement of Base 10 Integer")</f>
        <v>1009. Complement of Base 10 Integer</v>
      </c>
      <c r="B1303" t="s">
        <v>4</v>
      </c>
      <c r="C1303" t="s">
        <v>423</v>
      </c>
      <c r="D1303" t="s">
        <v>770</v>
      </c>
    </row>
    <row r="1304" spans="1:4" hidden="1" x14ac:dyDescent="0.45">
      <c r="A1304" t="str">
        <f>HYPERLINK("https://leetcode.com/problems/maximum-subarray-sum-with-length-divisible-by-k", "3381. Maximum Subarray Sum With Length Divisible by K")</f>
        <v>3381. Maximum Subarray Sum With Length Divisible by K</v>
      </c>
      <c r="B1304" t="s">
        <v>7</v>
      </c>
      <c r="C1304" t="s">
        <v>771</v>
      </c>
      <c r="D1304" t="s">
        <v>770</v>
      </c>
    </row>
    <row r="1305" spans="1:4" hidden="1" x14ac:dyDescent="0.45">
      <c r="A1305" t="str">
        <f>HYPERLINK("https://leetcode.com/problems/count-beautiful-splits-in-an-array", "3388. Count Beautiful Splits in an Array")</f>
        <v>3388. Count Beautiful Splits in an Array</v>
      </c>
      <c r="B1305" t="s">
        <v>7</v>
      </c>
      <c r="C1305" t="s">
        <v>772</v>
      </c>
      <c r="D1305" t="s">
        <v>770</v>
      </c>
    </row>
    <row r="1306" spans="1:4" hidden="1" x14ac:dyDescent="0.45">
      <c r="A1306" t="str">
        <f>HYPERLINK("https://leetcode.com/problems/check-if-all-characters-have-equal-number-of-occurrences", "1941. Check if All Characters Have Equal Number of Occurrences")</f>
        <v>1941. Check if All Characters Have Equal Number of Occurrences</v>
      </c>
      <c r="B1306" t="s">
        <v>4</v>
      </c>
      <c r="C1306" t="s">
        <v>480</v>
      </c>
      <c r="D1306" t="s">
        <v>770</v>
      </c>
    </row>
    <row r="1307" spans="1:4" hidden="1" x14ac:dyDescent="0.45">
      <c r="A1307" t="str">
        <f>HYPERLINK("https://leetcode.com/problems/count-the-number-of-arrays-with-k-matching-adjacent-elements", "3405. Count the Number of Arrays with K Matching Adjacent Elements")</f>
        <v>3405. Count the Number of Arrays with K Matching Adjacent Elements</v>
      </c>
      <c r="B1307" t="s">
        <v>12</v>
      </c>
      <c r="C1307" t="s">
        <v>121</v>
      </c>
      <c r="D1307" t="s">
        <v>770</v>
      </c>
    </row>
    <row r="1308" spans="1:4" hidden="1" x14ac:dyDescent="0.45">
      <c r="A1308" t="str">
        <f>HYPERLINK("https://leetcode.com/problems/kill-process", "582. Kill Process")</f>
        <v>582. Kill Process</v>
      </c>
      <c r="B1308" t="s">
        <v>7</v>
      </c>
      <c r="C1308" t="s">
        <v>247</v>
      </c>
      <c r="D1308" t="s">
        <v>770</v>
      </c>
    </row>
    <row r="1309" spans="1:4" hidden="1" x14ac:dyDescent="0.45">
      <c r="A1309" t="str">
        <f>HYPERLINK("https://leetcode.com/problems/count-negative-numbers-in-a-sorted-matrix", "1351. Count Negative Numbers in a Sorted Matrix")</f>
        <v>1351. Count Negative Numbers in a Sorted Matrix</v>
      </c>
      <c r="B1309" t="s">
        <v>4</v>
      </c>
      <c r="C1309" t="s">
        <v>526</v>
      </c>
      <c r="D1309" t="s">
        <v>770</v>
      </c>
    </row>
    <row r="1310" spans="1:4" hidden="1" x14ac:dyDescent="0.45">
      <c r="A1310" t="str">
        <f>HYPERLINK("https://leetcode.com/problems/kth-largest-sum-in-a-binary-tree", "2583. Kth Largest Sum in a Binary Tree")</f>
        <v>2583. Kth Largest Sum in a Binary Tree</v>
      </c>
      <c r="B1310" t="s">
        <v>7</v>
      </c>
      <c r="C1310" t="s">
        <v>173</v>
      </c>
      <c r="D1310" t="s">
        <v>770</v>
      </c>
    </row>
    <row r="1311" spans="1:4" hidden="1" x14ac:dyDescent="0.45">
      <c r="A1311" t="str">
        <f>HYPERLINK("https://leetcode.com/problems/minimum-cost-to-move-chips-to-the-same-position", "1217. Minimum Cost to Move Chips to The Same Position")</f>
        <v>1217. Minimum Cost to Move Chips to The Same Position</v>
      </c>
      <c r="B1311" t="s">
        <v>4</v>
      </c>
      <c r="C1311" t="s">
        <v>158</v>
      </c>
      <c r="D1311" t="s">
        <v>770</v>
      </c>
    </row>
    <row r="1312" spans="1:4" hidden="1" x14ac:dyDescent="0.45">
      <c r="A1312" t="str">
        <f>HYPERLINK("https://leetcode.com/problems/find-root-of-n-ary-tree", "1506. Find Root of N-Ary Tree")</f>
        <v>1506. Find Root of N-Ary Tree</v>
      </c>
      <c r="B1312" t="s">
        <v>7</v>
      </c>
      <c r="C1312" t="s">
        <v>522</v>
      </c>
      <c r="D1312" t="s">
        <v>770</v>
      </c>
    </row>
    <row r="1313" spans="1:4" hidden="1" x14ac:dyDescent="0.45">
      <c r="A1313" t="str">
        <f>HYPERLINK("https://leetcode.com/problems/largest-number-at-least-twice-of-others", "747. Largest Number At Least Twice of Others")</f>
        <v>747. Largest Number At Least Twice of Others</v>
      </c>
      <c r="B1313" t="s">
        <v>4</v>
      </c>
      <c r="C1313" t="s">
        <v>80</v>
      </c>
      <c r="D1313" t="s">
        <v>770</v>
      </c>
    </row>
    <row r="1314" spans="1:4" hidden="1" x14ac:dyDescent="0.45">
      <c r="A1314" t="str">
        <f>HYPERLINK("https://leetcode.com/problems/maximum-score-words-formed-by-letters", "1255. Maximum Score Words Formed by Letters")</f>
        <v>1255. Maximum Score Words Formed by Letters</v>
      </c>
      <c r="B1314" t="s">
        <v>12</v>
      </c>
      <c r="C1314" t="s">
        <v>773</v>
      </c>
      <c r="D1314" t="s">
        <v>770</v>
      </c>
    </row>
    <row r="1315" spans="1:4" hidden="1" x14ac:dyDescent="0.45">
      <c r="A1315" t="str">
        <f>HYPERLINK("https://leetcode.com/problems/next-greater-node-in-linked-list", "1019. Next Greater Node In Linked List")</f>
        <v>1019. Next Greater Node In Linked List</v>
      </c>
      <c r="B1315" t="s">
        <v>7</v>
      </c>
      <c r="C1315" t="s">
        <v>202</v>
      </c>
      <c r="D1315" t="s">
        <v>770</v>
      </c>
    </row>
    <row r="1316" spans="1:4" hidden="1" x14ac:dyDescent="0.45">
      <c r="A1316" t="str">
        <f>HYPERLINK("https://leetcode.com/problems/minimum-processing-time", "2895. Minimum Processing Time")</f>
        <v>2895. Minimum Processing Time</v>
      </c>
      <c r="B1316" t="s">
        <v>7</v>
      </c>
      <c r="C1316" t="s">
        <v>318</v>
      </c>
      <c r="D1316" t="s">
        <v>774</v>
      </c>
    </row>
    <row r="1317" spans="1:4" hidden="1" x14ac:dyDescent="0.45">
      <c r="A1317" t="str">
        <f>HYPERLINK("https://leetcode.com/problems/count-pairs-of-similar-strings", "2506. Count Pairs Of Similar Strings")</f>
        <v>2506. Count Pairs Of Similar Strings</v>
      </c>
      <c r="B1317" t="s">
        <v>4</v>
      </c>
      <c r="C1317" t="s">
        <v>622</v>
      </c>
      <c r="D1317" t="s">
        <v>774</v>
      </c>
    </row>
    <row r="1318" spans="1:4" hidden="1" x14ac:dyDescent="0.45">
      <c r="A1318" t="str">
        <f>HYPERLINK("https://leetcode.com/problems/minimum-number-of-taps-to-open-to-water-a-garden", "1326. Minimum Number of Taps to Open to Water a Garden")</f>
        <v>1326. Minimum Number of Taps to Open to Water a Garden</v>
      </c>
      <c r="B1318" t="s">
        <v>12</v>
      </c>
      <c r="C1318" t="s">
        <v>396</v>
      </c>
      <c r="D1318" t="s">
        <v>775</v>
      </c>
    </row>
    <row r="1319" spans="1:4" hidden="1" x14ac:dyDescent="0.45">
      <c r="A1319" t="str">
        <f>HYPERLINK("https://leetcode.com/problems/remove-adjacent-almost-equal-characters", "2957. Remove Adjacent Almost-Equal Characters")</f>
        <v>2957. Remove Adjacent Almost-Equal Characters</v>
      </c>
      <c r="B1319" t="s">
        <v>7</v>
      </c>
      <c r="C1319" t="s">
        <v>437</v>
      </c>
      <c r="D1319" t="s">
        <v>775</v>
      </c>
    </row>
    <row r="1320" spans="1:4" hidden="1" x14ac:dyDescent="0.45">
      <c r="A1320" t="str">
        <f>HYPERLINK("https://leetcode.com/problems/largest-number-after-digit-swaps-by-parity", "2231. Largest Number After Digit Swaps by Parity")</f>
        <v>2231. Largest Number After Digit Swaps by Parity</v>
      </c>
      <c r="B1320" t="s">
        <v>4</v>
      </c>
      <c r="C1320" t="s">
        <v>70</v>
      </c>
      <c r="D1320" t="s">
        <v>775</v>
      </c>
    </row>
    <row r="1321" spans="1:4" hidden="1" x14ac:dyDescent="0.45">
      <c r="A1321" t="str">
        <f>HYPERLINK("https://leetcode.com/problems/maximum-number-of-occurrences-of-a-substring", "1297. Maximum Number of Occurrences of a Substring")</f>
        <v>1297. Maximum Number of Occurrences of a Substring</v>
      </c>
      <c r="B1321" t="s">
        <v>7</v>
      </c>
      <c r="C1321" t="s">
        <v>244</v>
      </c>
      <c r="D1321" t="s">
        <v>775</v>
      </c>
    </row>
    <row r="1322" spans="1:4" hidden="1" x14ac:dyDescent="0.45">
      <c r="A1322" t="str">
        <f>HYPERLINK("https://leetcode.com/problems/verify-preorder-sequence-in-binary-search-tree", "255. Verify Preorder Sequence in Binary Search Tree")</f>
        <v>255. Verify Preorder Sequence in Binary Search Tree</v>
      </c>
      <c r="B1322" t="s">
        <v>7</v>
      </c>
      <c r="C1322" t="s">
        <v>396</v>
      </c>
      <c r="D1322" t="s">
        <v>775</v>
      </c>
    </row>
    <row r="1323" spans="1:4" hidden="1" x14ac:dyDescent="0.45">
      <c r="A1323" t="str">
        <f>HYPERLINK("https://leetcode.com/problems/shortest-distance-to-target-string-in-a-circular-array", "2515. Shortest Distance to Target String in a Circular Array")</f>
        <v>2515. Shortest Distance to Target String in a Circular Array</v>
      </c>
      <c r="B1323" t="s">
        <v>4</v>
      </c>
      <c r="C1323" t="s">
        <v>553</v>
      </c>
      <c r="D1323" t="s">
        <v>775</v>
      </c>
    </row>
    <row r="1324" spans="1:4" hidden="1" x14ac:dyDescent="0.45">
      <c r="A1324" t="str">
        <f>HYPERLINK("https://leetcode.com/problems/smallest-substring-with-identical-characters-ii", "3399. Smallest Substring With Identical Characters II")</f>
        <v>3399. Smallest Substring With Identical Characters II</v>
      </c>
      <c r="B1324" t="s">
        <v>12</v>
      </c>
      <c r="C1324" t="s">
        <v>93</v>
      </c>
      <c r="D1324" t="s">
        <v>775</v>
      </c>
    </row>
    <row r="1325" spans="1:4" hidden="1" x14ac:dyDescent="0.45">
      <c r="A1325" t="str">
        <f>HYPERLINK("https://leetcode.com/problems/maximum-earnings-from-taxi", "2008. Maximum Earnings From Taxi")</f>
        <v>2008. Maximum Earnings From Taxi</v>
      </c>
      <c r="B1325" t="s">
        <v>7</v>
      </c>
      <c r="C1325" t="s">
        <v>541</v>
      </c>
      <c r="D1325" t="s">
        <v>775</v>
      </c>
    </row>
    <row r="1326" spans="1:4" hidden="1" x14ac:dyDescent="0.45">
      <c r="A1326" t="str">
        <f>HYPERLINK("https://leetcode.com/problems/closest-equal-element-queries", "3488. Closest Equal Element Queries")</f>
        <v>3488. Closest Equal Element Queries</v>
      </c>
      <c r="B1326" t="s">
        <v>7</v>
      </c>
      <c r="C1326" t="s">
        <v>776</v>
      </c>
      <c r="D1326" t="s">
        <v>775</v>
      </c>
    </row>
    <row r="1327" spans="1:4" hidden="1" x14ac:dyDescent="0.45">
      <c r="A1327" t="str">
        <f>HYPERLINK("https://leetcode.com/problems/minimum-operations-to-reduce-an-integer-to-0", "2571. Minimum Operations to Reduce an Integer to 0")</f>
        <v>2571. Minimum Operations to Reduce an Integer to 0</v>
      </c>
      <c r="B1327" t="s">
        <v>7</v>
      </c>
      <c r="C1327" t="s">
        <v>342</v>
      </c>
      <c r="D1327" t="s">
        <v>775</v>
      </c>
    </row>
    <row r="1328" spans="1:4" hidden="1" x14ac:dyDescent="0.45">
      <c r="A1328" t="str">
        <f>HYPERLINK("https://leetcode.com/problems/high-access-employees", "2933. High-Access Employees")</f>
        <v>2933. High-Access Employees</v>
      </c>
      <c r="B1328" t="s">
        <v>7</v>
      </c>
      <c r="C1328" t="s">
        <v>388</v>
      </c>
      <c r="D1328" t="s">
        <v>777</v>
      </c>
    </row>
    <row r="1329" spans="1:4" hidden="1" x14ac:dyDescent="0.45">
      <c r="A1329" t="str">
        <f>HYPERLINK("https://leetcode.com/problems/pairs-of-songs-with-total-durations-divisible-by-60", "1010. Pairs of Songs With Total Durations Divisible by 60")</f>
        <v>1010. Pairs of Songs With Total Durations Divisible by 60</v>
      </c>
      <c r="B1329" t="s">
        <v>7</v>
      </c>
      <c r="C1329" t="s">
        <v>180</v>
      </c>
      <c r="D1329" t="s">
        <v>777</v>
      </c>
    </row>
    <row r="1330" spans="1:4" hidden="1" x14ac:dyDescent="0.45">
      <c r="A1330" t="str">
        <f>HYPERLINK("https://leetcode.com/problems/the-time-when-the-network-becomes-idle", "2039. The Time When the Network Becomes Idle")</f>
        <v>2039. The Time When the Network Becomes Idle</v>
      </c>
      <c r="B1330" t="s">
        <v>7</v>
      </c>
      <c r="C1330" t="s">
        <v>28</v>
      </c>
      <c r="D1330" t="s">
        <v>777</v>
      </c>
    </row>
    <row r="1331" spans="1:4" hidden="1" x14ac:dyDescent="0.45">
      <c r="A1331" t="str">
        <f>HYPERLINK("https://leetcode.com/problems/find-the-width-of-columns-of-a-grid", "2639. Find the Width of Columns of a Grid")</f>
        <v>2639. Find the Width of Columns of a Grid</v>
      </c>
      <c r="B1331" t="s">
        <v>4</v>
      </c>
      <c r="C1331" t="s">
        <v>442</v>
      </c>
      <c r="D1331" t="s">
        <v>777</v>
      </c>
    </row>
    <row r="1333" spans="1:4" x14ac:dyDescent="0.45">
      <c r="A1333" t="s">
        <v>778</v>
      </c>
      <c r="B1333">
        <f>SUBTOTAL(103, A2:A1048576)</f>
        <v>918</v>
      </c>
    </row>
  </sheetData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142875</xdr:rowOff>
                  </from>
                  <to>
                    <xdr:col>5</xdr:col>
                    <xdr:colOff>95250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5</xdr:col>
                    <xdr:colOff>95250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142875</xdr:rowOff>
                  </from>
                  <to>
                    <xdr:col>5</xdr:col>
                    <xdr:colOff>95250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142875</xdr:rowOff>
                  </from>
                  <to>
                    <xdr:col>5</xdr:col>
                    <xdr:colOff>95250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142875</xdr:rowOff>
                  </from>
                  <to>
                    <xdr:col>5</xdr:col>
                    <xdr:colOff>95250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142875</xdr:rowOff>
                  </from>
                  <to>
                    <xdr:col>5</xdr:col>
                    <xdr:colOff>95250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142875</xdr:rowOff>
                  </from>
                  <to>
                    <xdr:col>5</xdr:col>
                    <xdr:colOff>95250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142875</xdr:rowOff>
                  </from>
                  <to>
                    <xdr:col>5</xdr:col>
                    <xdr:colOff>95250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142875</xdr:rowOff>
                  </from>
                  <to>
                    <xdr:col>5</xdr:col>
                    <xdr:colOff>95250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142875</xdr:rowOff>
                  </from>
                  <to>
                    <xdr:col>5</xdr:col>
                    <xdr:colOff>95250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142875</xdr:rowOff>
                  </from>
                  <to>
                    <xdr:col>5</xdr:col>
                    <xdr:colOff>95250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142875</xdr:rowOff>
                  </from>
                  <to>
                    <xdr:col>5</xdr:col>
                    <xdr:colOff>95250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142875</xdr:rowOff>
                  </from>
                  <to>
                    <xdr:col>5</xdr:col>
                    <xdr:colOff>95250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142875</xdr:rowOff>
                  </from>
                  <to>
                    <xdr:col>5</xdr:col>
                    <xdr:colOff>95250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142875</xdr:rowOff>
                  </from>
                  <to>
                    <xdr:col>5</xdr:col>
                    <xdr:colOff>95250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142875</xdr:rowOff>
                  </from>
                  <to>
                    <xdr:col>5</xdr:col>
                    <xdr:colOff>95250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142875</xdr:rowOff>
                  </from>
                  <to>
                    <xdr:col>5</xdr:col>
                    <xdr:colOff>95250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142875</xdr:rowOff>
                  </from>
                  <to>
                    <xdr:col>5</xdr:col>
                    <xdr:colOff>95250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142875</xdr:rowOff>
                  </from>
                  <to>
                    <xdr:col>5</xdr:col>
                    <xdr:colOff>95250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142875</xdr:rowOff>
                  </from>
                  <to>
                    <xdr:col>5</xdr:col>
                    <xdr:colOff>95250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142875</xdr:rowOff>
                  </from>
                  <to>
                    <xdr:col>5</xdr:col>
                    <xdr:colOff>95250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142875</xdr:rowOff>
                  </from>
                  <to>
                    <xdr:col>5</xdr:col>
                    <xdr:colOff>95250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142875</xdr:rowOff>
                  </from>
                  <to>
                    <xdr:col>5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142875</xdr:rowOff>
                  </from>
                  <to>
                    <xdr:col>5</xdr:col>
                    <xdr:colOff>95250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142875</xdr:rowOff>
                  </from>
                  <to>
                    <xdr:col>5</xdr:col>
                    <xdr:colOff>95250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142875</xdr:rowOff>
                  </from>
                  <to>
                    <xdr:col>5</xdr:col>
                    <xdr:colOff>95250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142875</xdr:rowOff>
                  </from>
                  <to>
                    <xdr:col>5</xdr:col>
                    <xdr:colOff>95250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142875</xdr:rowOff>
                  </from>
                  <to>
                    <xdr:col>5</xdr:col>
                    <xdr:colOff>95250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142875</xdr:rowOff>
                  </from>
                  <to>
                    <xdr:col>5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142875</xdr:rowOff>
                  </from>
                  <to>
                    <xdr:col>5</xdr:col>
                    <xdr:colOff>95250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142875</xdr:rowOff>
                  </from>
                  <to>
                    <xdr:col>5</xdr:col>
                    <xdr:colOff>95250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142875</xdr:rowOff>
                  </from>
                  <to>
                    <xdr:col>5</xdr:col>
                    <xdr:colOff>95250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142875</xdr:rowOff>
                  </from>
                  <to>
                    <xdr:col>5</xdr:col>
                    <xdr:colOff>95250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142875</xdr:rowOff>
                  </from>
                  <to>
                    <xdr:col>5</xdr:col>
                    <xdr:colOff>95250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142875</xdr:rowOff>
                  </from>
                  <to>
                    <xdr:col>5</xdr:col>
                    <xdr:colOff>95250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142875</xdr:rowOff>
                  </from>
                  <to>
                    <xdr:col>5</xdr:col>
                    <xdr:colOff>95250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142875</xdr:rowOff>
                  </from>
                  <to>
                    <xdr:col>5</xdr:col>
                    <xdr:colOff>95250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142875</xdr:rowOff>
                  </from>
                  <to>
                    <xdr:col>5</xdr:col>
                    <xdr:colOff>95250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142875</xdr:rowOff>
                  </from>
                  <to>
                    <xdr:col>5</xdr:col>
                    <xdr:colOff>95250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142875</xdr:rowOff>
                  </from>
                  <to>
                    <xdr:col>5</xdr:col>
                    <xdr:colOff>95250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142875</xdr:rowOff>
                  </from>
                  <to>
                    <xdr:col>5</xdr:col>
                    <xdr:colOff>95250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142875</xdr:rowOff>
                  </from>
                  <to>
                    <xdr:col>5</xdr:col>
                    <xdr:colOff>95250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142875</xdr:rowOff>
                  </from>
                  <to>
                    <xdr:col>5</xdr:col>
                    <xdr:colOff>95250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142875</xdr:rowOff>
                  </from>
                  <to>
                    <xdr:col>5</xdr:col>
                    <xdr:colOff>95250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142875</xdr:rowOff>
                  </from>
                  <to>
                    <xdr:col>5</xdr:col>
                    <xdr:colOff>95250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142875</xdr:rowOff>
                  </from>
                  <to>
                    <xdr:col>5</xdr:col>
                    <xdr:colOff>95250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142875</xdr:rowOff>
                  </from>
                  <to>
                    <xdr:col>5</xdr:col>
                    <xdr:colOff>95250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142875</xdr:rowOff>
                  </from>
                  <to>
                    <xdr:col>5</xdr:col>
                    <xdr:colOff>95250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142875</xdr:rowOff>
                  </from>
                  <to>
                    <xdr:col>5</xdr:col>
                    <xdr:colOff>95250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142875</xdr:rowOff>
                  </from>
                  <to>
                    <xdr:col>5</xdr:col>
                    <xdr:colOff>95250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142875</xdr:rowOff>
                  </from>
                  <to>
                    <xdr:col>5</xdr:col>
                    <xdr:colOff>95250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142875</xdr:rowOff>
                  </from>
                  <to>
                    <xdr:col>5</xdr:col>
                    <xdr:colOff>95250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142875</xdr:rowOff>
                  </from>
                  <to>
                    <xdr:col>5</xdr:col>
                    <xdr:colOff>95250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142875</xdr:rowOff>
                  </from>
                  <to>
                    <xdr:col>5</xdr:col>
                    <xdr:colOff>95250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142875</xdr:rowOff>
                  </from>
                  <to>
                    <xdr:col>5</xdr:col>
                    <xdr:colOff>95250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142875</xdr:rowOff>
                  </from>
                  <to>
                    <xdr:col>5</xdr:col>
                    <xdr:colOff>95250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142875</xdr:rowOff>
                  </from>
                  <to>
                    <xdr:col>5</xdr:col>
                    <xdr:colOff>95250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142875</xdr:rowOff>
                  </from>
                  <to>
                    <xdr:col>5</xdr:col>
                    <xdr:colOff>95250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4</xdr:col>
                    <xdr:colOff>0</xdr:colOff>
                    <xdr:row>55</xdr:row>
                    <xdr:rowOff>142875</xdr:rowOff>
                  </from>
                  <to>
                    <xdr:col>5</xdr:col>
                    <xdr:colOff>95250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142875</xdr:rowOff>
                  </from>
                  <to>
                    <xdr:col>5</xdr:col>
                    <xdr:colOff>95250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4</xdr:col>
                    <xdr:colOff>0</xdr:colOff>
                    <xdr:row>57</xdr:row>
                    <xdr:rowOff>142875</xdr:rowOff>
                  </from>
                  <to>
                    <xdr:col>5</xdr:col>
                    <xdr:colOff>95250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142875</xdr:rowOff>
                  </from>
                  <to>
                    <xdr:col>5</xdr:col>
                    <xdr:colOff>95250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4</xdr:col>
                    <xdr:colOff>0</xdr:colOff>
                    <xdr:row>59</xdr:row>
                    <xdr:rowOff>142875</xdr:rowOff>
                  </from>
                  <to>
                    <xdr:col>5</xdr:col>
                    <xdr:colOff>95250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142875</xdr:rowOff>
                  </from>
                  <to>
                    <xdr:col>5</xdr:col>
                    <xdr:colOff>95250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4</xdr:col>
                    <xdr:colOff>0</xdr:colOff>
                    <xdr:row>61</xdr:row>
                    <xdr:rowOff>142875</xdr:rowOff>
                  </from>
                  <to>
                    <xdr:col>5</xdr:col>
                    <xdr:colOff>95250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4</xdr:col>
                    <xdr:colOff>0</xdr:colOff>
                    <xdr:row>62</xdr:row>
                    <xdr:rowOff>142875</xdr:rowOff>
                  </from>
                  <to>
                    <xdr:col>5</xdr:col>
                    <xdr:colOff>95250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142875</xdr:rowOff>
                  </from>
                  <to>
                    <xdr:col>5</xdr:col>
                    <xdr:colOff>95250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142875</xdr:rowOff>
                  </from>
                  <to>
                    <xdr:col>5</xdr:col>
                    <xdr:colOff>95250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142875</xdr:rowOff>
                  </from>
                  <to>
                    <xdr:col>5</xdr:col>
                    <xdr:colOff>95250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4</xdr:col>
                    <xdr:colOff>0</xdr:colOff>
                    <xdr:row>66</xdr:row>
                    <xdr:rowOff>142875</xdr:rowOff>
                  </from>
                  <to>
                    <xdr:col>5</xdr:col>
                    <xdr:colOff>95250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142875</xdr:rowOff>
                  </from>
                  <to>
                    <xdr:col>5</xdr:col>
                    <xdr:colOff>95250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4</xdr:col>
                    <xdr:colOff>0</xdr:colOff>
                    <xdr:row>68</xdr:row>
                    <xdr:rowOff>142875</xdr:rowOff>
                  </from>
                  <to>
                    <xdr:col>5</xdr:col>
                    <xdr:colOff>95250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142875</xdr:rowOff>
                  </from>
                  <to>
                    <xdr:col>5</xdr:col>
                    <xdr:colOff>95250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142875</xdr:rowOff>
                  </from>
                  <to>
                    <xdr:col>5</xdr:col>
                    <xdr:colOff>95250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4</xdr:col>
                    <xdr:colOff>0</xdr:colOff>
                    <xdr:row>71</xdr:row>
                    <xdr:rowOff>142875</xdr:rowOff>
                  </from>
                  <to>
                    <xdr:col>5</xdr:col>
                    <xdr:colOff>95250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4</xdr:col>
                    <xdr:colOff>0</xdr:colOff>
                    <xdr:row>72</xdr:row>
                    <xdr:rowOff>142875</xdr:rowOff>
                  </from>
                  <to>
                    <xdr:col>5</xdr:col>
                    <xdr:colOff>95250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142875</xdr:rowOff>
                  </from>
                  <to>
                    <xdr:col>5</xdr:col>
                    <xdr:colOff>95250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4</xdr:col>
                    <xdr:colOff>0</xdr:colOff>
                    <xdr:row>74</xdr:row>
                    <xdr:rowOff>142875</xdr:rowOff>
                  </from>
                  <to>
                    <xdr:col>5</xdr:col>
                    <xdr:colOff>95250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142875</xdr:rowOff>
                  </from>
                  <to>
                    <xdr:col>5</xdr:col>
                    <xdr:colOff>95250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4</xdr:col>
                    <xdr:colOff>0</xdr:colOff>
                    <xdr:row>76</xdr:row>
                    <xdr:rowOff>142875</xdr:rowOff>
                  </from>
                  <to>
                    <xdr:col>5</xdr:col>
                    <xdr:colOff>95250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4</xdr:col>
                    <xdr:colOff>0</xdr:colOff>
                    <xdr:row>77</xdr:row>
                    <xdr:rowOff>142875</xdr:rowOff>
                  </from>
                  <to>
                    <xdr:col>5</xdr:col>
                    <xdr:colOff>95250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142875</xdr:rowOff>
                  </from>
                  <to>
                    <xdr:col>5</xdr:col>
                    <xdr:colOff>95250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142875</xdr:rowOff>
                  </from>
                  <to>
                    <xdr:col>5</xdr:col>
                    <xdr:colOff>95250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7" name="Check Box 87">
              <controlPr defaultSize="0" autoFill="0" autoLine="0" autoPict="0">
                <anchor moveWithCells="1">
                  <from>
                    <xdr:col>4</xdr:col>
                    <xdr:colOff>0</xdr:colOff>
                    <xdr:row>80</xdr:row>
                    <xdr:rowOff>142875</xdr:rowOff>
                  </from>
                  <to>
                    <xdr:col>5</xdr:col>
                    <xdr:colOff>95250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8" name="Check Box 88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142875</xdr:rowOff>
                  </from>
                  <to>
                    <xdr:col>5</xdr:col>
                    <xdr:colOff>95250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9" name="Check Box 89">
              <controlPr defaultSize="0" autoFill="0" autoLine="0" autoPict="0">
                <anchor moveWithCells="1">
                  <from>
                    <xdr:col>4</xdr:col>
                    <xdr:colOff>0</xdr:colOff>
                    <xdr:row>82</xdr:row>
                    <xdr:rowOff>142875</xdr:rowOff>
                  </from>
                  <to>
                    <xdr:col>5</xdr:col>
                    <xdr:colOff>95250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0" name="Check Box 90">
              <controlPr defaultSize="0" autoFill="0" autoLine="0" autoPict="0">
                <anchor moveWithCells="1">
                  <from>
                    <xdr:col>4</xdr:col>
                    <xdr:colOff>0</xdr:colOff>
                    <xdr:row>83</xdr:row>
                    <xdr:rowOff>142875</xdr:rowOff>
                  </from>
                  <to>
                    <xdr:col>5</xdr:col>
                    <xdr:colOff>95250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1" name="Check Box 91">
              <controlPr defaultSize="0" autoFill="0" autoLine="0" autoPict="0">
                <anchor moveWithCells="1">
                  <from>
                    <xdr:col>4</xdr:col>
                    <xdr:colOff>0</xdr:colOff>
                    <xdr:row>84</xdr:row>
                    <xdr:rowOff>142875</xdr:rowOff>
                  </from>
                  <to>
                    <xdr:col>5</xdr:col>
                    <xdr:colOff>95250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2" name="Check Box 92">
              <controlPr defaultSize="0" autoFill="0" autoLine="0" autoPict="0">
                <anchor moveWithCells="1">
                  <from>
                    <xdr:col>4</xdr:col>
                    <xdr:colOff>0</xdr:colOff>
                    <xdr:row>85</xdr:row>
                    <xdr:rowOff>142875</xdr:rowOff>
                  </from>
                  <to>
                    <xdr:col>5</xdr:col>
                    <xdr:colOff>95250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3" name="Check Box 93">
              <controlPr defaultSize="0" autoFill="0" autoLine="0" autoPict="0">
                <anchor moveWithCells="1">
                  <from>
                    <xdr:col>4</xdr:col>
                    <xdr:colOff>0</xdr:colOff>
                    <xdr:row>86</xdr:row>
                    <xdr:rowOff>142875</xdr:rowOff>
                  </from>
                  <to>
                    <xdr:col>5</xdr:col>
                    <xdr:colOff>95250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4" name="Check Box 94">
              <controlPr defaultSize="0" autoFill="0" autoLine="0" autoPict="0">
                <anchor moveWithCells="1">
                  <from>
                    <xdr:col>4</xdr:col>
                    <xdr:colOff>0</xdr:colOff>
                    <xdr:row>87</xdr:row>
                    <xdr:rowOff>142875</xdr:rowOff>
                  </from>
                  <to>
                    <xdr:col>5</xdr:col>
                    <xdr:colOff>95250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5" name="Check Box 95">
              <controlPr defaultSize="0" autoFill="0" autoLine="0" autoPict="0">
                <anchor moveWithCells="1">
                  <from>
                    <xdr:col>4</xdr:col>
                    <xdr:colOff>0</xdr:colOff>
                    <xdr:row>88</xdr:row>
                    <xdr:rowOff>142875</xdr:rowOff>
                  </from>
                  <to>
                    <xdr:col>5</xdr:col>
                    <xdr:colOff>95250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6" name="Check Box 96">
              <controlPr defaultSize="0" autoFill="0" autoLine="0" autoPict="0">
                <anchor moveWithCells="1">
                  <from>
                    <xdr:col>4</xdr:col>
                    <xdr:colOff>0</xdr:colOff>
                    <xdr:row>89</xdr:row>
                    <xdr:rowOff>142875</xdr:rowOff>
                  </from>
                  <to>
                    <xdr:col>5</xdr:col>
                    <xdr:colOff>95250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7" name="Check Box 97">
              <controlPr defaultSize="0" autoFill="0" autoLine="0" autoPict="0">
                <anchor moveWithCells="1">
                  <from>
                    <xdr:col>4</xdr:col>
                    <xdr:colOff>0</xdr:colOff>
                    <xdr:row>90</xdr:row>
                    <xdr:rowOff>142875</xdr:rowOff>
                  </from>
                  <to>
                    <xdr:col>5</xdr:col>
                    <xdr:colOff>95250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8" name="Check Box 98">
              <controlPr defaultSize="0" autoFill="0" autoLine="0" autoPict="0">
                <anchor moveWithCells="1">
                  <from>
                    <xdr:col>4</xdr:col>
                    <xdr:colOff>0</xdr:colOff>
                    <xdr:row>91</xdr:row>
                    <xdr:rowOff>142875</xdr:rowOff>
                  </from>
                  <to>
                    <xdr:col>5</xdr:col>
                    <xdr:colOff>95250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9" name="Check Box 99">
              <controlPr defaultSize="0" autoFill="0" autoLine="0" autoPict="0">
                <anchor moveWithCells="1">
                  <from>
                    <xdr:col>4</xdr:col>
                    <xdr:colOff>0</xdr:colOff>
                    <xdr:row>92</xdr:row>
                    <xdr:rowOff>142875</xdr:rowOff>
                  </from>
                  <to>
                    <xdr:col>5</xdr:col>
                    <xdr:colOff>95250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0" name="Check Box 100">
              <controlPr defaultSize="0" autoFill="0" autoLine="0" autoPict="0">
                <anchor moveWithCells="1">
                  <from>
                    <xdr:col>4</xdr:col>
                    <xdr:colOff>0</xdr:colOff>
                    <xdr:row>93</xdr:row>
                    <xdr:rowOff>142875</xdr:rowOff>
                  </from>
                  <to>
                    <xdr:col>5</xdr:col>
                    <xdr:colOff>95250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1" name="Check Box 101">
              <controlPr defaultSize="0" autoFill="0" autoLine="0" autoPict="0">
                <anchor moveWithCells="1">
                  <from>
                    <xdr:col>4</xdr:col>
                    <xdr:colOff>0</xdr:colOff>
                    <xdr:row>94</xdr:row>
                    <xdr:rowOff>142875</xdr:rowOff>
                  </from>
                  <to>
                    <xdr:col>5</xdr:col>
                    <xdr:colOff>95250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2" name="Check Box 102">
              <controlPr defaultSize="0" autoFill="0" autoLine="0" autoPict="0">
                <anchor moveWithCells="1">
                  <from>
                    <xdr:col>4</xdr:col>
                    <xdr:colOff>0</xdr:colOff>
                    <xdr:row>95</xdr:row>
                    <xdr:rowOff>142875</xdr:rowOff>
                  </from>
                  <to>
                    <xdr:col>5</xdr:col>
                    <xdr:colOff>95250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3" name="Check Box 103">
              <controlPr defaultSize="0" autoFill="0" autoLine="0" autoPict="0">
                <anchor moveWithCells="1">
                  <from>
                    <xdr:col>4</xdr:col>
                    <xdr:colOff>0</xdr:colOff>
                    <xdr:row>96</xdr:row>
                    <xdr:rowOff>142875</xdr:rowOff>
                  </from>
                  <to>
                    <xdr:col>5</xdr:col>
                    <xdr:colOff>95250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4" name="Check Box 104">
              <controlPr defaultSize="0" autoFill="0" autoLine="0" autoPict="0">
                <anchor moveWithCells="1">
                  <from>
                    <xdr:col>4</xdr:col>
                    <xdr:colOff>0</xdr:colOff>
                    <xdr:row>97</xdr:row>
                    <xdr:rowOff>142875</xdr:rowOff>
                  </from>
                  <to>
                    <xdr:col>5</xdr:col>
                    <xdr:colOff>95250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5" name="Check Box 105">
              <controlPr defaultSize="0" autoFill="0" autoLine="0" autoPict="0">
                <anchor moveWithCells="1">
                  <from>
                    <xdr:col>4</xdr:col>
                    <xdr:colOff>0</xdr:colOff>
                    <xdr:row>98</xdr:row>
                    <xdr:rowOff>142875</xdr:rowOff>
                  </from>
                  <to>
                    <xdr:col>5</xdr:col>
                    <xdr:colOff>95250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6" name="Check Box 106">
              <controlPr defaultSize="0" autoFill="0" autoLine="0" autoPict="0">
                <anchor moveWithCells="1">
                  <from>
                    <xdr:col>4</xdr:col>
                    <xdr:colOff>0</xdr:colOff>
                    <xdr:row>99</xdr:row>
                    <xdr:rowOff>142875</xdr:rowOff>
                  </from>
                  <to>
                    <xdr:col>5</xdr:col>
                    <xdr:colOff>95250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7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100</xdr:row>
                    <xdr:rowOff>142875</xdr:rowOff>
                  </from>
                  <to>
                    <xdr:col>5</xdr:col>
                    <xdr:colOff>95250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8" name="Check Box 108">
              <controlPr defaultSize="0" autoFill="0" autoLine="0" autoPict="0">
                <anchor moveWithCells="1">
                  <from>
                    <xdr:col>4</xdr:col>
                    <xdr:colOff>0</xdr:colOff>
                    <xdr:row>101</xdr:row>
                    <xdr:rowOff>142875</xdr:rowOff>
                  </from>
                  <to>
                    <xdr:col>5</xdr:col>
                    <xdr:colOff>95250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9" name="Check Box 109">
              <controlPr defaultSize="0" autoFill="0" autoLine="0" autoPict="0">
                <anchor moveWithCells="1">
                  <from>
                    <xdr:col>4</xdr:col>
                    <xdr:colOff>0</xdr:colOff>
                    <xdr:row>102</xdr:row>
                    <xdr:rowOff>142875</xdr:rowOff>
                  </from>
                  <to>
                    <xdr:col>5</xdr:col>
                    <xdr:colOff>95250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0" name="Check Box 110">
              <controlPr defaultSize="0" autoFill="0" autoLine="0" autoPict="0">
                <anchor moveWithCells="1">
                  <from>
                    <xdr:col>4</xdr:col>
                    <xdr:colOff>0</xdr:colOff>
                    <xdr:row>103</xdr:row>
                    <xdr:rowOff>142875</xdr:rowOff>
                  </from>
                  <to>
                    <xdr:col>5</xdr:col>
                    <xdr:colOff>95250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1" name="Check Box 111">
              <controlPr defaultSize="0" autoFill="0" autoLine="0" autoPict="0">
                <anchor moveWithCells="1">
                  <from>
                    <xdr:col>4</xdr:col>
                    <xdr:colOff>0</xdr:colOff>
                    <xdr:row>104</xdr:row>
                    <xdr:rowOff>142875</xdr:rowOff>
                  </from>
                  <to>
                    <xdr:col>5</xdr:col>
                    <xdr:colOff>95250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2" name="Check Box 112">
              <controlPr defaultSize="0" autoFill="0" autoLine="0" autoPict="0">
                <anchor moveWithCells="1">
                  <from>
                    <xdr:col>4</xdr:col>
                    <xdr:colOff>0</xdr:colOff>
                    <xdr:row>105</xdr:row>
                    <xdr:rowOff>142875</xdr:rowOff>
                  </from>
                  <to>
                    <xdr:col>5</xdr:col>
                    <xdr:colOff>95250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3" name="Check Box 113">
              <controlPr defaultSize="0" autoFill="0" autoLine="0" autoPict="0">
                <anchor moveWithCells="1">
                  <from>
                    <xdr:col>4</xdr:col>
                    <xdr:colOff>0</xdr:colOff>
                    <xdr:row>106</xdr:row>
                    <xdr:rowOff>142875</xdr:rowOff>
                  </from>
                  <to>
                    <xdr:col>5</xdr:col>
                    <xdr:colOff>95250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4" name="Check Box 114">
              <controlPr defaultSize="0" autoFill="0" autoLine="0" autoPict="0">
                <anchor moveWithCells="1">
                  <from>
                    <xdr:col>4</xdr:col>
                    <xdr:colOff>0</xdr:colOff>
                    <xdr:row>107</xdr:row>
                    <xdr:rowOff>142875</xdr:rowOff>
                  </from>
                  <to>
                    <xdr:col>5</xdr:col>
                    <xdr:colOff>95250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5" name="Check Box 115">
              <controlPr defaultSize="0" autoFill="0" autoLine="0" autoPict="0">
                <anchor moveWithCells="1">
                  <from>
                    <xdr:col>4</xdr:col>
                    <xdr:colOff>0</xdr:colOff>
                    <xdr:row>108</xdr:row>
                    <xdr:rowOff>142875</xdr:rowOff>
                  </from>
                  <to>
                    <xdr:col>5</xdr:col>
                    <xdr:colOff>95250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6" name="Check Box 116">
              <controlPr defaultSize="0" autoFill="0" autoLine="0" autoPict="0">
                <anchor moveWithCells="1">
                  <from>
                    <xdr:col>4</xdr:col>
                    <xdr:colOff>0</xdr:colOff>
                    <xdr:row>109</xdr:row>
                    <xdr:rowOff>142875</xdr:rowOff>
                  </from>
                  <to>
                    <xdr:col>5</xdr:col>
                    <xdr:colOff>95250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7" name="Check Box 117">
              <controlPr defaultSize="0" autoFill="0" autoLine="0" autoPict="0">
                <anchor moveWithCells="1">
                  <from>
                    <xdr:col>4</xdr:col>
                    <xdr:colOff>0</xdr:colOff>
                    <xdr:row>110</xdr:row>
                    <xdr:rowOff>142875</xdr:rowOff>
                  </from>
                  <to>
                    <xdr:col>5</xdr:col>
                    <xdr:colOff>95250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8" name="Check Box 118">
              <controlPr defaultSize="0" autoFill="0" autoLine="0" autoPict="0">
                <anchor moveWithCells="1">
                  <from>
                    <xdr:col>4</xdr:col>
                    <xdr:colOff>0</xdr:colOff>
                    <xdr:row>111</xdr:row>
                    <xdr:rowOff>142875</xdr:rowOff>
                  </from>
                  <to>
                    <xdr:col>5</xdr:col>
                    <xdr:colOff>95250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9" name="Check Box 119">
              <controlPr defaultSize="0" autoFill="0" autoLine="0" autoPict="0">
                <anchor moveWithCells="1">
                  <from>
                    <xdr:col>4</xdr:col>
                    <xdr:colOff>0</xdr:colOff>
                    <xdr:row>112</xdr:row>
                    <xdr:rowOff>142875</xdr:rowOff>
                  </from>
                  <to>
                    <xdr:col>5</xdr:col>
                    <xdr:colOff>95250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0" name="Check Box 120">
              <controlPr defaultSize="0" autoFill="0" autoLine="0" autoPict="0">
                <anchor moveWithCells="1">
                  <from>
                    <xdr:col>4</xdr:col>
                    <xdr:colOff>0</xdr:colOff>
                    <xdr:row>113</xdr:row>
                    <xdr:rowOff>142875</xdr:rowOff>
                  </from>
                  <to>
                    <xdr:col>5</xdr:col>
                    <xdr:colOff>95250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1" name="Check Box 121">
              <controlPr defaultSize="0" autoFill="0" autoLine="0" autoPict="0">
                <anchor moveWithCells="1">
                  <from>
                    <xdr:col>4</xdr:col>
                    <xdr:colOff>0</xdr:colOff>
                    <xdr:row>114</xdr:row>
                    <xdr:rowOff>142875</xdr:rowOff>
                  </from>
                  <to>
                    <xdr:col>5</xdr:col>
                    <xdr:colOff>95250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2" name="Check Box 122">
              <controlPr defaultSize="0" autoFill="0" autoLine="0" autoPict="0">
                <anchor moveWithCells="1">
                  <from>
                    <xdr:col>4</xdr:col>
                    <xdr:colOff>0</xdr:colOff>
                    <xdr:row>115</xdr:row>
                    <xdr:rowOff>142875</xdr:rowOff>
                  </from>
                  <to>
                    <xdr:col>5</xdr:col>
                    <xdr:colOff>95250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3" name="Check Box 123">
              <controlPr defaultSize="0" autoFill="0" autoLine="0" autoPict="0">
                <anchor moveWithCells="1">
                  <from>
                    <xdr:col>4</xdr:col>
                    <xdr:colOff>0</xdr:colOff>
                    <xdr:row>116</xdr:row>
                    <xdr:rowOff>142875</xdr:rowOff>
                  </from>
                  <to>
                    <xdr:col>5</xdr:col>
                    <xdr:colOff>95250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4" name="Check Box 124">
              <controlPr defaultSize="0" autoFill="0" autoLine="0" autoPict="0">
                <anchor moveWithCells="1">
                  <from>
                    <xdr:col>4</xdr:col>
                    <xdr:colOff>0</xdr:colOff>
                    <xdr:row>117</xdr:row>
                    <xdr:rowOff>142875</xdr:rowOff>
                  </from>
                  <to>
                    <xdr:col>5</xdr:col>
                    <xdr:colOff>95250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5" name="Check Box 125">
              <controlPr defaultSize="0" autoFill="0" autoLine="0" autoPict="0">
                <anchor moveWithCells="1">
                  <from>
                    <xdr:col>4</xdr:col>
                    <xdr:colOff>0</xdr:colOff>
                    <xdr:row>118</xdr:row>
                    <xdr:rowOff>142875</xdr:rowOff>
                  </from>
                  <to>
                    <xdr:col>5</xdr:col>
                    <xdr:colOff>95250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6" name="Check Box 126">
              <controlPr defaultSize="0" autoFill="0" autoLine="0" autoPict="0">
                <anchor moveWithCells="1">
                  <from>
                    <xdr:col>4</xdr:col>
                    <xdr:colOff>0</xdr:colOff>
                    <xdr:row>119</xdr:row>
                    <xdr:rowOff>142875</xdr:rowOff>
                  </from>
                  <to>
                    <xdr:col>5</xdr:col>
                    <xdr:colOff>95250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7" name="Check Box 127">
              <controlPr defaultSize="0" autoFill="0" autoLine="0" autoPict="0">
                <anchor moveWithCells="1">
                  <from>
                    <xdr:col>4</xdr:col>
                    <xdr:colOff>0</xdr:colOff>
                    <xdr:row>120</xdr:row>
                    <xdr:rowOff>142875</xdr:rowOff>
                  </from>
                  <to>
                    <xdr:col>5</xdr:col>
                    <xdr:colOff>95250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8" name="Check Box 128">
              <controlPr defaultSize="0" autoFill="0" autoLine="0" autoPict="0">
                <anchor moveWithCells="1">
                  <from>
                    <xdr:col>4</xdr:col>
                    <xdr:colOff>0</xdr:colOff>
                    <xdr:row>121</xdr:row>
                    <xdr:rowOff>142875</xdr:rowOff>
                  </from>
                  <to>
                    <xdr:col>5</xdr:col>
                    <xdr:colOff>95250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9" name="Check Box 129">
              <controlPr defaultSize="0" autoFill="0" autoLine="0" autoPict="0">
                <anchor moveWithCells="1">
                  <from>
                    <xdr:col>4</xdr:col>
                    <xdr:colOff>0</xdr:colOff>
                    <xdr:row>122</xdr:row>
                    <xdr:rowOff>142875</xdr:rowOff>
                  </from>
                  <to>
                    <xdr:col>5</xdr:col>
                    <xdr:colOff>95250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0" name="Check Box 130">
              <controlPr defaultSize="0" autoFill="0" autoLine="0" autoPict="0">
                <anchor moveWithCells="1">
                  <from>
                    <xdr:col>4</xdr:col>
                    <xdr:colOff>0</xdr:colOff>
                    <xdr:row>123</xdr:row>
                    <xdr:rowOff>142875</xdr:rowOff>
                  </from>
                  <to>
                    <xdr:col>5</xdr:col>
                    <xdr:colOff>95250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1" name="Check Box 131">
              <controlPr defaultSize="0" autoFill="0" autoLine="0" autoPict="0">
                <anchor moveWithCells="1">
                  <from>
                    <xdr:col>4</xdr:col>
                    <xdr:colOff>0</xdr:colOff>
                    <xdr:row>124</xdr:row>
                    <xdr:rowOff>142875</xdr:rowOff>
                  </from>
                  <to>
                    <xdr:col>5</xdr:col>
                    <xdr:colOff>95250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2" name="Check Box 132">
              <controlPr defaultSize="0" autoFill="0" autoLine="0" autoPict="0">
                <anchor moveWithCells="1">
                  <from>
                    <xdr:col>4</xdr:col>
                    <xdr:colOff>0</xdr:colOff>
                    <xdr:row>125</xdr:row>
                    <xdr:rowOff>142875</xdr:rowOff>
                  </from>
                  <to>
                    <xdr:col>5</xdr:col>
                    <xdr:colOff>95250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3" name="Check Box 133">
              <controlPr defaultSize="0" autoFill="0" autoLine="0" autoPict="0">
                <anchor moveWithCells="1">
                  <from>
                    <xdr:col>4</xdr:col>
                    <xdr:colOff>0</xdr:colOff>
                    <xdr:row>126</xdr:row>
                    <xdr:rowOff>142875</xdr:rowOff>
                  </from>
                  <to>
                    <xdr:col>5</xdr:col>
                    <xdr:colOff>95250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4" name="Check Box 134">
              <controlPr defaultSize="0" autoFill="0" autoLine="0" autoPict="0">
                <anchor moveWithCells="1">
                  <from>
                    <xdr:col>4</xdr:col>
                    <xdr:colOff>0</xdr:colOff>
                    <xdr:row>127</xdr:row>
                    <xdr:rowOff>142875</xdr:rowOff>
                  </from>
                  <to>
                    <xdr:col>5</xdr:col>
                    <xdr:colOff>95250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5" name="Check Box 135">
              <controlPr defaultSize="0" autoFill="0" autoLine="0" autoPict="0">
                <anchor moveWithCells="1">
                  <from>
                    <xdr:col>4</xdr:col>
                    <xdr:colOff>0</xdr:colOff>
                    <xdr:row>128</xdr:row>
                    <xdr:rowOff>142875</xdr:rowOff>
                  </from>
                  <to>
                    <xdr:col>5</xdr:col>
                    <xdr:colOff>95250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6" name="Check Box 136">
              <controlPr defaultSize="0" autoFill="0" autoLine="0" autoPict="0">
                <anchor moveWithCells="1">
                  <from>
                    <xdr:col>4</xdr:col>
                    <xdr:colOff>0</xdr:colOff>
                    <xdr:row>129</xdr:row>
                    <xdr:rowOff>142875</xdr:rowOff>
                  </from>
                  <to>
                    <xdr:col>5</xdr:col>
                    <xdr:colOff>95250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7" name="Check Box 137">
              <controlPr defaultSize="0" autoFill="0" autoLine="0" autoPict="0">
                <anchor moveWithCells="1">
                  <from>
                    <xdr:col>4</xdr:col>
                    <xdr:colOff>0</xdr:colOff>
                    <xdr:row>130</xdr:row>
                    <xdr:rowOff>142875</xdr:rowOff>
                  </from>
                  <to>
                    <xdr:col>5</xdr:col>
                    <xdr:colOff>95250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8" name="Check Box 138">
              <controlPr defaultSize="0" autoFill="0" autoLine="0" autoPict="0">
                <anchor moveWithCells="1">
                  <from>
                    <xdr:col>4</xdr:col>
                    <xdr:colOff>0</xdr:colOff>
                    <xdr:row>131</xdr:row>
                    <xdr:rowOff>142875</xdr:rowOff>
                  </from>
                  <to>
                    <xdr:col>5</xdr:col>
                    <xdr:colOff>95250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9" name="Check Box 139">
              <controlPr defaultSize="0" autoFill="0" autoLine="0" autoPict="0">
                <anchor moveWithCells="1">
                  <from>
                    <xdr:col>4</xdr:col>
                    <xdr:colOff>0</xdr:colOff>
                    <xdr:row>132</xdr:row>
                    <xdr:rowOff>142875</xdr:rowOff>
                  </from>
                  <to>
                    <xdr:col>5</xdr:col>
                    <xdr:colOff>95250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0" name="Check Box 140">
              <controlPr defaultSize="0" autoFill="0" autoLine="0" autoPict="0">
                <anchor moveWithCells="1">
                  <from>
                    <xdr:col>4</xdr:col>
                    <xdr:colOff>0</xdr:colOff>
                    <xdr:row>133</xdr:row>
                    <xdr:rowOff>142875</xdr:rowOff>
                  </from>
                  <to>
                    <xdr:col>5</xdr:col>
                    <xdr:colOff>95250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1" name="Check Box 141">
              <controlPr defaultSize="0" autoFill="0" autoLine="0" autoPict="0">
                <anchor moveWithCells="1">
                  <from>
                    <xdr:col>4</xdr:col>
                    <xdr:colOff>0</xdr:colOff>
                    <xdr:row>134</xdr:row>
                    <xdr:rowOff>142875</xdr:rowOff>
                  </from>
                  <to>
                    <xdr:col>5</xdr:col>
                    <xdr:colOff>95250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2" name="Check Box 142">
              <controlPr defaultSize="0" autoFill="0" autoLine="0" autoPict="0">
                <anchor moveWithCells="1">
                  <from>
                    <xdr:col>4</xdr:col>
                    <xdr:colOff>0</xdr:colOff>
                    <xdr:row>135</xdr:row>
                    <xdr:rowOff>142875</xdr:rowOff>
                  </from>
                  <to>
                    <xdr:col>5</xdr:col>
                    <xdr:colOff>95250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3" name="Check Box 143">
              <controlPr defaultSize="0" autoFill="0" autoLine="0" autoPict="0">
                <anchor moveWithCells="1">
                  <from>
                    <xdr:col>4</xdr:col>
                    <xdr:colOff>0</xdr:colOff>
                    <xdr:row>136</xdr:row>
                    <xdr:rowOff>142875</xdr:rowOff>
                  </from>
                  <to>
                    <xdr:col>5</xdr:col>
                    <xdr:colOff>95250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4" name="Check Box 144">
              <controlPr defaultSize="0" autoFill="0" autoLine="0" autoPict="0">
                <anchor moveWithCells="1">
                  <from>
                    <xdr:col>4</xdr:col>
                    <xdr:colOff>0</xdr:colOff>
                    <xdr:row>137</xdr:row>
                    <xdr:rowOff>142875</xdr:rowOff>
                  </from>
                  <to>
                    <xdr:col>5</xdr:col>
                    <xdr:colOff>95250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5" name="Check Box 145">
              <controlPr defaultSize="0" autoFill="0" autoLine="0" autoPict="0">
                <anchor moveWithCells="1">
                  <from>
                    <xdr:col>4</xdr:col>
                    <xdr:colOff>0</xdr:colOff>
                    <xdr:row>138</xdr:row>
                    <xdr:rowOff>142875</xdr:rowOff>
                  </from>
                  <to>
                    <xdr:col>5</xdr:col>
                    <xdr:colOff>95250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6" name="Check Box 146">
              <controlPr defaultSize="0" autoFill="0" autoLine="0" autoPict="0">
                <anchor moveWithCells="1">
                  <from>
                    <xdr:col>4</xdr:col>
                    <xdr:colOff>0</xdr:colOff>
                    <xdr:row>139</xdr:row>
                    <xdr:rowOff>142875</xdr:rowOff>
                  </from>
                  <to>
                    <xdr:col>5</xdr:col>
                    <xdr:colOff>95250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7" name="Check Box 147">
              <controlPr defaultSize="0" autoFill="0" autoLine="0" autoPict="0">
                <anchor moveWithCells="1">
                  <from>
                    <xdr:col>4</xdr:col>
                    <xdr:colOff>0</xdr:colOff>
                    <xdr:row>140</xdr:row>
                    <xdr:rowOff>142875</xdr:rowOff>
                  </from>
                  <to>
                    <xdr:col>5</xdr:col>
                    <xdr:colOff>95250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8" name="Check Box 148">
              <controlPr defaultSize="0" autoFill="0" autoLine="0" autoPict="0">
                <anchor moveWithCells="1">
                  <from>
                    <xdr:col>4</xdr:col>
                    <xdr:colOff>0</xdr:colOff>
                    <xdr:row>141</xdr:row>
                    <xdr:rowOff>142875</xdr:rowOff>
                  </from>
                  <to>
                    <xdr:col>5</xdr:col>
                    <xdr:colOff>95250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9" name="Check Box 149">
              <controlPr defaultSize="0" autoFill="0" autoLine="0" autoPict="0">
                <anchor moveWithCells="1">
                  <from>
                    <xdr:col>4</xdr:col>
                    <xdr:colOff>0</xdr:colOff>
                    <xdr:row>142</xdr:row>
                    <xdr:rowOff>142875</xdr:rowOff>
                  </from>
                  <to>
                    <xdr:col>5</xdr:col>
                    <xdr:colOff>95250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0" name="Check Box 150">
              <controlPr defaultSize="0" autoFill="0" autoLine="0" autoPict="0">
                <anchor moveWithCells="1">
                  <from>
                    <xdr:col>4</xdr:col>
                    <xdr:colOff>0</xdr:colOff>
                    <xdr:row>143</xdr:row>
                    <xdr:rowOff>142875</xdr:rowOff>
                  </from>
                  <to>
                    <xdr:col>5</xdr:col>
                    <xdr:colOff>95250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1" name="Check Box 151">
              <controlPr defaultSize="0" autoFill="0" autoLine="0" autoPict="0">
                <anchor moveWithCells="1">
                  <from>
                    <xdr:col>4</xdr:col>
                    <xdr:colOff>0</xdr:colOff>
                    <xdr:row>144</xdr:row>
                    <xdr:rowOff>142875</xdr:rowOff>
                  </from>
                  <to>
                    <xdr:col>5</xdr:col>
                    <xdr:colOff>95250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2" name="Check Box 152">
              <controlPr defaultSize="0" autoFill="0" autoLine="0" autoPict="0">
                <anchor moveWithCells="1">
                  <from>
                    <xdr:col>4</xdr:col>
                    <xdr:colOff>0</xdr:colOff>
                    <xdr:row>145</xdr:row>
                    <xdr:rowOff>142875</xdr:rowOff>
                  </from>
                  <to>
                    <xdr:col>5</xdr:col>
                    <xdr:colOff>95250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3" name="Check Box 153">
              <controlPr defaultSize="0" autoFill="0" autoLine="0" autoPict="0">
                <anchor moveWithCells="1">
                  <from>
                    <xdr:col>4</xdr:col>
                    <xdr:colOff>0</xdr:colOff>
                    <xdr:row>146</xdr:row>
                    <xdr:rowOff>142875</xdr:rowOff>
                  </from>
                  <to>
                    <xdr:col>5</xdr:col>
                    <xdr:colOff>95250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4" name="Check Box 154">
              <controlPr defaultSize="0" autoFill="0" autoLine="0" autoPict="0">
                <anchor moveWithCells="1">
                  <from>
                    <xdr:col>4</xdr:col>
                    <xdr:colOff>0</xdr:colOff>
                    <xdr:row>147</xdr:row>
                    <xdr:rowOff>142875</xdr:rowOff>
                  </from>
                  <to>
                    <xdr:col>5</xdr:col>
                    <xdr:colOff>95250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5" name="Check Box 155">
              <controlPr defaultSize="0" autoFill="0" autoLine="0" autoPict="0">
                <anchor moveWithCells="1">
                  <from>
                    <xdr:col>4</xdr:col>
                    <xdr:colOff>0</xdr:colOff>
                    <xdr:row>148</xdr:row>
                    <xdr:rowOff>142875</xdr:rowOff>
                  </from>
                  <to>
                    <xdr:col>5</xdr:col>
                    <xdr:colOff>95250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6" name="Check Box 156">
              <controlPr defaultSize="0" autoFill="0" autoLine="0" autoPict="0">
                <anchor moveWithCells="1">
                  <from>
                    <xdr:col>4</xdr:col>
                    <xdr:colOff>0</xdr:colOff>
                    <xdr:row>149</xdr:row>
                    <xdr:rowOff>142875</xdr:rowOff>
                  </from>
                  <to>
                    <xdr:col>5</xdr:col>
                    <xdr:colOff>95250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7" name="Check Box 157">
              <controlPr defaultSize="0" autoFill="0" autoLine="0" autoPict="0">
                <anchor moveWithCells="1">
                  <from>
                    <xdr:col>4</xdr:col>
                    <xdr:colOff>0</xdr:colOff>
                    <xdr:row>150</xdr:row>
                    <xdr:rowOff>142875</xdr:rowOff>
                  </from>
                  <to>
                    <xdr:col>5</xdr:col>
                    <xdr:colOff>95250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8" name="Check Box 158">
              <controlPr defaultSize="0" autoFill="0" autoLine="0" autoPict="0">
                <anchor moveWithCells="1">
                  <from>
                    <xdr:col>4</xdr:col>
                    <xdr:colOff>0</xdr:colOff>
                    <xdr:row>151</xdr:row>
                    <xdr:rowOff>142875</xdr:rowOff>
                  </from>
                  <to>
                    <xdr:col>5</xdr:col>
                    <xdr:colOff>95250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9" name="Check Box 159">
              <controlPr defaultSize="0" autoFill="0" autoLine="0" autoPict="0">
                <anchor moveWithCells="1">
                  <from>
                    <xdr:col>4</xdr:col>
                    <xdr:colOff>0</xdr:colOff>
                    <xdr:row>152</xdr:row>
                    <xdr:rowOff>142875</xdr:rowOff>
                  </from>
                  <to>
                    <xdr:col>5</xdr:col>
                    <xdr:colOff>95250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0" name="Check Box 160">
              <controlPr defaultSize="0" autoFill="0" autoLine="0" autoPict="0">
                <anchor moveWithCells="1">
                  <from>
                    <xdr:col>4</xdr:col>
                    <xdr:colOff>0</xdr:colOff>
                    <xdr:row>153</xdr:row>
                    <xdr:rowOff>142875</xdr:rowOff>
                  </from>
                  <to>
                    <xdr:col>5</xdr:col>
                    <xdr:colOff>95250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1" name="Check Box 161">
              <controlPr defaultSize="0" autoFill="0" autoLine="0" autoPict="0">
                <anchor moveWithCells="1">
                  <from>
                    <xdr:col>4</xdr:col>
                    <xdr:colOff>0</xdr:colOff>
                    <xdr:row>154</xdr:row>
                    <xdr:rowOff>142875</xdr:rowOff>
                  </from>
                  <to>
                    <xdr:col>5</xdr:col>
                    <xdr:colOff>95250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2" name="Check Box 162">
              <controlPr defaultSize="0" autoFill="0" autoLine="0" autoPict="0">
                <anchor moveWithCells="1">
                  <from>
                    <xdr:col>4</xdr:col>
                    <xdr:colOff>0</xdr:colOff>
                    <xdr:row>155</xdr:row>
                    <xdr:rowOff>142875</xdr:rowOff>
                  </from>
                  <to>
                    <xdr:col>5</xdr:col>
                    <xdr:colOff>95250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3" name="Check Box 163">
              <controlPr defaultSize="0" autoFill="0" autoLine="0" autoPict="0">
                <anchor moveWithCells="1">
                  <from>
                    <xdr:col>4</xdr:col>
                    <xdr:colOff>0</xdr:colOff>
                    <xdr:row>156</xdr:row>
                    <xdr:rowOff>142875</xdr:rowOff>
                  </from>
                  <to>
                    <xdr:col>5</xdr:col>
                    <xdr:colOff>95250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4" name="Check Box 164">
              <controlPr defaultSize="0" autoFill="0" autoLine="0" autoPict="0">
                <anchor moveWithCells="1">
                  <from>
                    <xdr:col>4</xdr:col>
                    <xdr:colOff>0</xdr:colOff>
                    <xdr:row>157</xdr:row>
                    <xdr:rowOff>142875</xdr:rowOff>
                  </from>
                  <to>
                    <xdr:col>5</xdr:col>
                    <xdr:colOff>95250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5" name="Check Box 165">
              <controlPr defaultSize="0" autoFill="0" autoLine="0" autoPict="0">
                <anchor moveWithCells="1">
                  <from>
                    <xdr:col>4</xdr:col>
                    <xdr:colOff>0</xdr:colOff>
                    <xdr:row>158</xdr:row>
                    <xdr:rowOff>142875</xdr:rowOff>
                  </from>
                  <to>
                    <xdr:col>5</xdr:col>
                    <xdr:colOff>95250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6" name="Check Box 166">
              <controlPr defaultSize="0" autoFill="0" autoLine="0" autoPict="0">
                <anchor moveWithCells="1">
                  <from>
                    <xdr:col>4</xdr:col>
                    <xdr:colOff>0</xdr:colOff>
                    <xdr:row>159</xdr:row>
                    <xdr:rowOff>142875</xdr:rowOff>
                  </from>
                  <to>
                    <xdr:col>5</xdr:col>
                    <xdr:colOff>95250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7" name="Check Box 167">
              <controlPr defaultSize="0" autoFill="0" autoLine="0" autoPict="0">
                <anchor moveWithCells="1">
                  <from>
                    <xdr:col>4</xdr:col>
                    <xdr:colOff>0</xdr:colOff>
                    <xdr:row>160</xdr:row>
                    <xdr:rowOff>142875</xdr:rowOff>
                  </from>
                  <to>
                    <xdr:col>5</xdr:col>
                    <xdr:colOff>95250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8" name="Check Box 168">
              <controlPr defaultSize="0" autoFill="0" autoLine="0" autoPict="0">
                <anchor moveWithCells="1">
                  <from>
                    <xdr:col>4</xdr:col>
                    <xdr:colOff>0</xdr:colOff>
                    <xdr:row>161</xdr:row>
                    <xdr:rowOff>142875</xdr:rowOff>
                  </from>
                  <to>
                    <xdr:col>5</xdr:col>
                    <xdr:colOff>95250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9" name="Check Box 169">
              <controlPr defaultSize="0" autoFill="0" autoLine="0" autoPict="0">
                <anchor moveWithCells="1">
                  <from>
                    <xdr:col>4</xdr:col>
                    <xdr:colOff>0</xdr:colOff>
                    <xdr:row>162</xdr:row>
                    <xdr:rowOff>142875</xdr:rowOff>
                  </from>
                  <to>
                    <xdr:col>5</xdr:col>
                    <xdr:colOff>95250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0" name="Check Box 170">
              <controlPr defaultSize="0" autoFill="0" autoLine="0" autoPict="0">
                <anchor moveWithCells="1">
                  <from>
                    <xdr:col>4</xdr:col>
                    <xdr:colOff>0</xdr:colOff>
                    <xdr:row>163</xdr:row>
                    <xdr:rowOff>142875</xdr:rowOff>
                  </from>
                  <to>
                    <xdr:col>5</xdr:col>
                    <xdr:colOff>95250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1" name="Check Box 171">
              <controlPr defaultSize="0" autoFill="0" autoLine="0" autoPict="0">
                <anchor moveWithCells="1">
                  <from>
                    <xdr:col>4</xdr:col>
                    <xdr:colOff>0</xdr:colOff>
                    <xdr:row>164</xdr:row>
                    <xdr:rowOff>142875</xdr:rowOff>
                  </from>
                  <to>
                    <xdr:col>5</xdr:col>
                    <xdr:colOff>95250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2" name="Check Box 172">
              <controlPr defaultSize="0" autoFill="0" autoLine="0" autoPict="0">
                <anchor moveWithCells="1">
                  <from>
                    <xdr:col>4</xdr:col>
                    <xdr:colOff>0</xdr:colOff>
                    <xdr:row>165</xdr:row>
                    <xdr:rowOff>142875</xdr:rowOff>
                  </from>
                  <to>
                    <xdr:col>5</xdr:col>
                    <xdr:colOff>95250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3" name="Check Box 173">
              <controlPr defaultSize="0" autoFill="0" autoLine="0" autoPict="0">
                <anchor moveWithCells="1">
                  <from>
                    <xdr:col>4</xdr:col>
                    <xdr:colOff>0</xdr:colOff>
                    <xdr:row>166</xdr:row>
                    <xdr:rowOff>142875</xdr:rowOff>
                  </from>
                  <to>
                    <xdr:col>5</xdr:col>
                    <xdr:colOff>95250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4" name="Check Box 174">
              <controlPr defaultSize="0" autoFill="0" autoLine="0" autoPict="0">
                <anchor moveWithCells="1">
                  <from>
                    <xdr:col>4</xdr:col>
                    <xdr:colOff>0</xdr:colOff>
                    <xdr:row>167</xdr:row>
                    <xdr:rowOff>142875</xdr:rowOff>
                  </from>
                  <to>
                    <xdr:col>5</xdr:col>
                    <xdr:colOff>95250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5" name="Check Box 175">
              <controlPr defaultSize="0" autoFill="0" autoLine="0" autoPict="0">
                <anchor moveWithCells="1">
                  <from>
                    <xdr:col>4</xdr:col>
                    <xdr:colOff>0</xdr:colOff>
                    <xdr:row>168</xdr:row>
                    <xdr:rowOff>142875</xdr:rowOff>
                  </from>
                  <to>
                    <xdr:col>5</xdr:col>
                    <xdr:colOff>95250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6" name="Check Box 176">
              <controlPr defaultSize="0" autoFill="0" autoLine="0" autoPict="0">
                <anchor moveWithCells="1">
                  <from>
                    <xdr:col>4</xdr:col>
                    <xdr:colOff>0</xdr:colOff>
                    <xdr:row>169</xdr:row>
                    <xdr:rowOff>142875</xdr:rowOff>
                  </from>
                  <to>
                    <xdr:col>5</xdr:col>
                    <xdr:colOff>95250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7" name="Check Box 177">
              <controlPr defaultSize="0" autoFill="0" autoLine="0" autoPict="0">
                <anchor moveWithCells="1">
                  <from>
                    <xdr:col>4</xdr:col>
                    <xdr:colOff>0</xdr:colOff>
                    <xdr:row>170</xdr:row>
                    <xdr:rowOff>142875</xdr:rowOff>
                  </from>
                  <to>
                    <xdr:col>5</xdr:col>
                    <xdr:colOff>95250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8" name="Check Box 178">
              <controlPr defaultSize="0" autoFill="0" autoLine="0" autoPict="0">
                <anchor moveWithCells="1">
                  <from>
                    <xdr:col>4</xdr:col>
                    <xdr:colOff>0</xdr:colOff>
                    <xdr:row>171</xdr:row>
                    <xdr:rowOff>142875</xdr:rowOff>
                  </from>
                  <to>
                    <xdr:col>5</xdr:col>
                    <xdr:colOff>95250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9" name="Check Box 179">
              <controlPr defaultSize="0" autoFill="0" autoLine="0" autoPict="0">
                <anchor moveWithCells="1">
                  <from>
                    <xdr:col>4</xdr:col>
                    <xdr:colOff>0</xdr:colOff>
                    <xdr:row>172</xdr:row>
                    <xdr:rowOff>142875</xdr:rowOff>
                  </from>
                  <to>
                    <xdr:col>5</xdr:col>
                    <xdr:colOff>95250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0" name="Check Box 180">
              <controlPr defaultSize="0" autoFill="0" autoLine="0" autoPict="0">
                <anchor moveWithCells="1">
                  <from>
                    <xdr:col>4</xdr:col>
                    <xdr:colOff>0</xdr:colOff>
                    <xdr:row>173</xdr:row>
                    <xdr:rowOff>142875</xdr:rowOff>
                  </from>
                  <to>
                    <xdr:col>5</xdr:col>
                    <xdr:colOff>95250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1" name="Check Box 181">
              <controlPr defaultSize="0" autoFill="0" autoLine="0" autoPict="0">
                <anchor moveWithCells="1">
                  <from>
                    <xdr:col>4</xdr:col>
                    <xdr:colOff>0</xdr:colOff>
                    <xdr:row>174</xdr:row>
                    <xdr:rowOff>142875</xdr:rowOff>
                  </from>
                  <to>
                    <xdr:col>5</xdr:col>
                    <xdr:colOff>95250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2" name="Check Box 182">
              <controlPr defaultSize="0" autoFill="0" autoLine="0" autoPict="0">
                <anchor moveWithCells="1">
                  <from>
                    <xdr:col>4</xdr:col>
                    <xdr:colOff>0</xdr:colOff>
                    <xdr:row>175</xdr:row>
                    <xdr:rowOff>142875</xdr:rowOff>
                  </from>
                  <to>
                    <xdr:col>5</xdr:col>
                    <xdr:colOff>95250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3" name="Check Box 183">
              <controlPr defaultSize="0" autoFill="0" autoLine="0" autoPict="0">
                <anchor moveWithCells="1">
                  <from>
                    <xdr:col>4</xdr:col>
                    <xdr:colOff>0</xdr:colOff>
                    <xdr:row>176</xdr:row>
                    <xdr:rowOff>142875</xdr:rowOff>
                  </from>
                  <to>
                    <xdr:col>5</xdr:col>
                    <xdr:colOff>95250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4" name="Check Box 184">
              <controlPr defaultSize="0" autoFill="0" autoLine="0" autoPict="0">
                <anchor moveWithCells="1">
                  <from>
                    <xdr:col>4</xdr:col>
                    <xdr:colOff>0</xdr:colOff>
                    <xdr:row>177</xdr:row>
                    <xdr:rowOff>142875</xdr:rowOff>
                  </from>
                  <to>
                    <xdr:col>5</xdr:col>
                    <xdr:colOff>95250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5" name="Check Box 185">
              <controlPr defaultSize="0" autoFill="0" autoLine="0" autoPict="0">
                <anchor moveWithCells="1">
                  <from>
                    <xdr:col>4</xdr:col>
                    <xdr:colOff>0</xdr:colOff>
                    <xdr:row>178</xdr:row>
                    <xdr:rowOff>142875</xdr:rowOff>
                  </from>
                  <to>
                    <xdr:col>5</xdr:col>
                    <xdr:colOff>95250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6" name="Check Box 186">
              <controlPr defaultSize="0" autoFill="0" autoLine="0" autoPict="0">
                <anchor moveWithCells="1">
                  <from>
                    <xdr:col>4</xdr:col>
                    <xdr:colOff>0</xdr:colOff>
                    <xdr:row>179</xdr:row>
                    <xdr:rowOff>142875</xdr:rowOff>
                  </from>
                  <to>
                    <xdr:col>5</xdr:col>
                    <xdr:colOff>95250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7" name="Check Box 187">
              <controlPr defaultSize="0" autoFill="0" autoLine="0" autoPict="0">
                <anchor moveWithCells="1">
                  <from>
                    <xdr:col>4</xdr:col>
                    <xdr:colOff>0</xdr:colOff>
                    <xdr:row>180</xdr:row>
                    <xdr:rowOff>142875</xdr:rowOff>
                  </from>
                  <to>
                    <xdr:col>5</xdr:col>
                    <xdr:colOff>95250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8" name="Check Box 188">
              <controlPr defaultSize="0" autoFill="0" autoLine="0" autoPict="0">
                <anchor moveWithCells="1">
                  <from>
                    <xdr:col>4</xdr:col>
                    <xdr:colOff>0</xdr:colOff>
                    <xdr:row>181</xdr:row>
                    <xdr:rowOff>142875</xdr:rowOff>
                  </from>
                  <to>
                    <xdr:col>5</xdr:col>
                    <xdr:colOff>95250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9" name="Check Box 189">
              <controlPr defaultSize="0" autoFill="0" autoLine="0" autoPict="0">
                <anchor moveWithCells="1">
                  <from>
                    <xdr:col>4</xdr:col>
                    <xdr:colOff>0</xdr:colOff>
                    <xdr:row>182</xdr:row>
                    <xdr:rowOff>142875</xdr:rowOff>
                  </from>
                  <to>
                    <xdr:col>5</xdr:col>
                    <xdr:colOff>95250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0" name="Check Box 190">
              <controlPr defaultSize="0" autoFill="0" autoLine="0" autoPict="0">
                <anchor moveWithCells="1">
                  <from>
                    <xdr:col>4</xdr:col>
                    <xdr:colOff>0</xdr:colOff>
                    <xdr:row>183</xdr:row>
                    <xdr:rowOff>142875</xdr:rowOff>
                  </from>
                  <to>
                    <xdr:col>5</xdr:col>
                    <xdr:colOff>95250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1" name="Check Box 191">
              <controlPr defaultSize="0" autoFill="0" autoLine="0" autoPict="0">
                <anchor moveWithCells="1">
                  <from>
                    <xdr:col>4</xdr:col>
                    <xdr:colOff>0</xdr:colOff>
                    <xdr:row>184</xdr:row>
                    <xdr:rowOff>142875</xdr:rowOff>
                  </from>
                  <to>
                    <xdr:col>5</xdr:col>
                    <xdr:colOff>95250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2" name="Check Box 192">
              <controlPr defaultSize="0" autoFill="0" autoLine="0" autoPict="0">
                <anchor moveWithCells="1">
                  <from>
                    <xdr:col>4</xdr:col>
                    <xdr:colOff>0</xdr:colOff>
                    <xdr:row>185</xdr:row>
                    <xdr:rowOff>142875</xdr:rowOff>
                  </from>
                  <to>
                    <xdr:col>5</xdr:col>
                    <xdr:colOff>95250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3" name="Check Box 193">
              <controlPr defaultSize="0" autoFill="0" autoLine="0" autoPict="0">
                <anchor moveWithCells="1">
                  <from>
                    <xdr:col>4</xdr:col>
                    <xdr:colOff>0</xdr:colOff>
                    <xdr:row>186</xdr:row>
                    <xdr:rowOff>142875</xdr:rowOff>
                  </from>
                  <to>
                    <xdr:col>5</xdr:col>
                    <xdr:colOff>95250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4" name="Check Box 194">
              <controlPr defaultSize="0" autoFill="0" autoLine="0" autoPict="0">
                <anchor moveWithCells="1">
                  <from>
                    <xdr:col>4</xdr:col>
                    <xdr:colOff>0</xdr:colOff>
                    <xdr:row>187</xdr:row>
                    <xdr:rowOff>142875</xdr:rowOff>
                  </from>
                  <to>
                    <xdr:col>5</xdr:col>
                    <xdr:colOff>95250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5" name="Check Box 195">
              <controlPr defaultSize="0" autoFill="0" autoLine="0" autoPict="0">
                <anchor moveWithCells="1">
                  <from>
                    <xdr:col>4</xdr:col>
                    <xdr:colOff>0</xdr:colOff>
                    <xdr:row>188</xdr:row>
                    <xdr:rowOff>142875</xdr:rowOff>
                  </from>
                  <to>
                    <xdr:col>5</xdr:col>
                    <xdr:colOff>95250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6" name="Check Box 196">
              <controlPr defaultSize="0" autoFill="0" autoLine="0" autoPict="0">
                <anchor moveWithCells="1">
                  <from>
                    <xdr:col>4</xdr:col>
                    <xdr:colOff>0</xdr:colOff>
                    <xdr:row>189</xdr:row>
                    <xdr:rowOff>142875</xdr:rowOff>
                  </from>
                  <to>
                    <xdr:col>5</xdr:col>
                    <xdr:colOff>95250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7" name="Check Box 197">
              <controlPr defaultSize="0" autoFill="0" autoLine="0" autoPict="0">
                <anchor moveWithCells="1">
                  <from>
                    <xdr:col>4</xdr:col>
                    <xdr:colOff>0</xdr:colOff>
                    <xdr:row>190</xdr:row>
                    <xdr:rowOff>142875</xdr:rowOff>
                  </from>
                  <to>
                    <xdr:col>5</xdr:col>
                    <xdr:colOff>95250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8" name="Check Box 198">
              <controlPr defaultSize="0" autoFill="0" autoLine="0" autoPict="0">
                <anchor moveWithCells="1">
                  <from>
                    <xdr:col>4</xdr:col>
                    <xdr:colOff>0</xdr:colOff>
                    <xdr:row>191</xdr:row>
                    <xdr:rowOff>142875</xdr:rowOff>
                  </from>
                  <to>
                    <xdr:col>5</xdr:col>
                    <xdr:colOff>95250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9" name="Check Box 199">
              <controlPr defaultSize="0" autoFill="0" autoLine="0" autoPict="0">
                <anchor moveWithCells="1">
                  <from>
                    <xdr:col>4</xdr:col>
                    <xdr:colOff>0</xdr:colOff>
                    <xdr:row>192</xdr:row>
                    <xdr:rowOff>142875</xdr:rowOff>
                  </from>
                  <to>
                    <xdr:col>5</xdr:col>
                    <xdr:colOff>95250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0" name="Check Box 200">
              <controlPr defaultSize="0" autoFill="0" autoLine="0" autoPict="0">
                <anchor moveWithCells="1">
                  <from>
                    <xdr:col>4</xdr:col>
                    <xdr:colOff>0</xdr:colOff>
                    <xdr:row>193</xdr:row>
                    <xdr:rowOff>142875</xdr:rowOff>
                  </from>
                  <to>
                    <xdr:col>5</xdr:col>
                    <xdr:colOff>95250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1" name="Check Box 201">
              <controlPr defaultSize="0" autoFill="0" autoLine="0" autoPict="0">
                <anchor moveWithCells="1">
                  <from>
                    <xdr:col>4</xdr:col>
                    <xdr:colOff>0</xdr:colOff>
                    <xdr:row>194</xdr:row>
                    <xdr:rowOff>142875</xdr:rowOff>
                  </from>
                  <to>
                    <xdr:col>5</xdr:col>
                    <xdr:colOff>95250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2" name="Check Box 202">
              <controlPr defaultSize="0" autoFill="0" autoLine="0" autoPict="0">
                <anchor moveWithCells="1">
                  <from>
                    <xdr:col>4</xdr:col>
                    <xdr:colOff>0</xdr:colOff>
                    <xdr:row>195</xdr:row>
                    <xdr:rowOff>142875</xdr:rowOff>
                  </from>
                  <to>
                    <xdr:col>5</xdr:col>
                    <xdr:colOff>95250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3" name="Check Box 203">
              <controlPr defaultSize="0" autoFill="0" autoLine="0" autoPict="0">
                <anchor moveWithCells="1">
                  <from>
                    <xdr:col>4</xdr:col>
                    <xdr:colOff>0</xdr:colOff>
                    <xdr:row>196</xdr:row>
                    <xdr:rowOff>142875</xdr:rowOff>
                  </from>
                  <to>
                    <xdr:col>5</xdr:col>
                    <xdr:colOff>95250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4" name="Check Box 204">
              <controlPr defaultSize="0" autoFill="0" autoLine="0" autoPict="0">
                <anchor moveWithCells="1">
                  <from>
                    <xdr:col>4</xdr:col>
                    <xdr:colOff>0</xdr:colOff>
                    <xdr:row>197</xdr:row>
                    <xdr:rowOff>142875</xdr:rowOff>
                  </from>
                  <to>
                    <xdr:col>5</xdr:col>
                    <xdr:colOff>95250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5" name="Check Box 205">
              <controlPr defaultSize="0" autoFill="0" autoLine="0" autoPict="0">
                <anchor moveWithCells="1">
                  <from>
                    <xdr:col>4</xdr:col>
                    <xdr:colOff>0</xdr:colOff>
                    <xdr:row>198</xdr:row>
                    <xdr:rowOff>142875</xdr:rowOff>
                  </from>
                  <to>
                    <xdr:col>5</xdr:col>
                    <xdr:colOff>95250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6" name="Check Box 206">
              <controlPr defaultSize="0" autoFill="0" autoLine="0" autoPict="0">
                <anchor moveWithCells="1">
                  <from>
                    <xdr:col>4</xdr:col>
                    <xdr:colOff>0</xdr:colOff>
                    <xdr:row>199</xdr:row>
                    <xdr:rowOff>142875</xdr:rowOff>
                  </from>
                  <to>
                    <xdr:col>5</xdr:col>
                    <xdr:colOff>95250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7" name="Check Box 207">
              <controlPr defaultSize="0" autoFill="0" autoLine="0" autoPict="0">
                <anchor moveWithCells="1">
                  <from>
                    <xdr:col>4</xdr:col>
                    <xdr:colOff>0</xdr:colOff>
                    <xdr:row>200</xdr:row>
                    <xdr:rowOff>142875</xdr:rowOff>
                  </from>
                  <to>
                    <xdr:col>5</xdr:col>
                    <xdr:colOff>95250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8" name="Check Box 208">
              <controlPr defaultSize="0" autoFill="0" autoLine="0" autoPict="0">
                <anchor moveWithCells="1">
                  <from>
                    <xdr:col>4</xdr:col>
                    <xdr:colOff>0</xdr:colOff>
                    <xdr:row>201</xdr:row>
                    <xdr:rowOff>142875</xdr:rowOff>
                  </from>
                  <to>
                    <xdr:col>5</xdr:col>
                    <xdr:colOff>95250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9" name="Check Box 209">
              <controlPr defaultSize="0" autoFill="0" autoLine="0" autoPict="0">
                <anchor moveWithCells="1">
                  <from>
                    <xdr:col>4</xdr:col>
                    <xdr:colOff>0</xdr:colOff>
                    <xdr:row>202</xdr:row>
                    <xdr:rowOff>142875</xdr:rowOff>
                  </from>
                  <to>
                    <xdr:col>5</xdr:col>
                    <xdr:colOff>95250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0" name="Check Box 210">
              <controlPr defaultSize="0" autoFill="0" autoLine="0" autoPict="0">
                <anchor moveWithCells="1">
                  <from>
                    <xdr:col>4</xdr:col>
                    <xdr:colOff>0</xdr:colOff>
                    <xdr:row>203</xdr:row>
                    <xdr:rowOff>142875</xdr:rowOff>
                  </from>
                  <to>
                    <xdr:col>5</xdr:col>
                    <xdr:colOff>95250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1" name="Check Box 211">
              <controlPr defaultSize="0" autoFill="0" autoLine="0" autoPict="0">
                <anchor moveWithCells="1">
                  <from>
                    <xdr:col>4</xdr:col>
                    <xdr:colOff>0</xdr:colOff>
                    <xdr:row>204</xdr:row>
                    <xdr:rowOff>142875</xdr:rowOff>
                  </from>
                  <to>
                    <xdr:col>5</xdr:col>
                    <xdr:colOff>95250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2" name="Check Box 212">
              <controlPr defaultSize="0" autoFill="0" autoLine="0" autoPict="0">
                <anchor moveWithCells="1">
                  <from>
                    <xdr:col>4</xdr:col>
                    <xdr:colOff>0</xdr:colOff>
                    <xdr:row>205</xdr:row>
                    <xdr:rowOff>142875</xdr:rowOff>
                  </from>
                  <to>
                    <xdr:col>5</xdr:col>
                    <xdr:colOff>95250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3" name="Check Box 213">
              <controlPr defaultSize="0" autoFill="0" autoLine="0" autoPict="0">
                <anchor moveWithCells="1">
                  <from>
                    <xdr:col>4</xdr:col>
                    <xdr:colOff>0</xdr:colOff>
                    <xdr:row>206</xdr:row>
                    <xdr:rowOff>142875</xdr:rowOff>
                  </from>
                  <to>
                    <xdr:col>5</xdr:col>
                    <xdr:colOff>95250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4" name="Check Box 214">
              <controlPr defaultSize="0" autoFill="0" autoLine="0" autoPict="0">
                <anchor moveWithCells="1">
                  <from>
                    <xdr:col>4</xdr:col>
                    <xdr:colOff>0</xdr:colOff>
                    <xdr:row>207</xdr:row>
                    <xdr:rowOff>142875</xdr:rowOff>
                  </from>
                  <to>
                    <xdr:col>5</xdr:col>
                    <xdr:colOff>95250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5" name="Check Box 215">
              <controlPr defaultSize="0" autoFill="0" autoLine="0" autoPict="0">
                <anchor moveWithCells="1">
                  <from>
                    <xdr:col>4</xdr:col>
                    <xdr:colOff>0</xdr:colOff>
                    <xdr:row>208</xdr:row>
                    <xdr:rowOff>142875</xdr:rowOff>
                  </from>
                  <to>
                    <xdr:col>5</xdr:col>
                    <xdr:colOff>95250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6" name="Check Box 216">
              <controlPr defaultSize="0" autoFill="0" autoLine="0" autoPict="0">
                <anchor moveWithCells="1">
                  <from>
                    <xdr:col>4</xdr:col>
                    <xdr:colOff>0</xdr:colOff>
                    <xdr:row>209</xdr:row>
                    <xdr:rowOff>142875</xdr:rowOff>
                  </from>
                  <to>
                    <xdr:col>5</xdr:col>
                    <xdr:colOff>95250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7" name="Check Box 217">
              <controlPr defaultSize="0" autoFill="0" autoLine="0" autoPict="0">
                <anchor moveWithCells="1">
                  <from>
                    <xdr:col>4</xdr:col>
                    <xdr:colOff>0</xdr:colOff>
                    <xdr:row>210</xdr:row>
                    <xdr:rowOff>142875</xdr:rowOff>
                  </from>
                  <to>
                    <xdr:col>5</xdr:col>
                    <xdr:colOff>95250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8" name="Check Box 218">
              <controlPr defaultSize="0" autoFill="0" autoLine="0" autoPict="0">
                <anchor moveWithCells="1">
                  <from>
                    <xdr:col>4</xdr:col>
                    <xdr:colOff>0</xdr:colOff>
                    <xdr:row>211</xdr:row>
                    <xdr:rowOff>142875</xdr:rowOff>
                  </from>
                  <to>
                    <xdr:col>5</xdr:col>
                    <xdr:colOff>95250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9" name="Check Box 219">
              <controlPr defaultSize="0" autoFill="0" autoLine="0" autoPict="0">
                <anchor moveWithCells="1">
                  <from>
                    <xdr:col>4</xdr:col>
                    <xdr:colOff>0</xdr:colOff>
                    <xdr:row>212</xdr:row>
                    <xdr:rowOff>142875</xdr:rowOff>
                  </from>
                  <to>
                    <xdr:col>5</xdr:col>
                    <xdr:colOff>95250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0" name="Check Box 220">
              <controlPr defaultSize="0" autoFill="0" autoLine="0" autoPict="0">
                <anchor moveWithCells="1">
                  <from>
                    <xdr:col>4</xdr:col>
                    <xdr:colOff>0</xdr:colOff>
                    <xdr:row>213</xdr:row>
                    <xdr:rowOff>142875</xdr:rowOff>
                  </from>
                  <to>
                    <xdr:col>5</xdr:col>
                    <xdr:colOff>95250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1" name="Check Box 221">
              <controlPr defaultSize="0" autoFill="0" autoLine="0" autoPict="0">
                <anchor moveWithCells="1">
                  <from>
                    <xdr:col>4</xdr:col>
                    <xdr:colOff>0</xdr:colOff>
                    <xdr:row>214</xdr:row>
                    <xdr:rowOff>142875</xdr:rowOff>
                  </from>
                  <to>
                    <xdr:col>5</xdr:col>
                    <xdr:colOff>95250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2" name="Check Box 222">
              <controlPr defaultSize="0" autoFill="0" autoLine="0" autoPict="0">
                <anchor moveWithCells="1">
                  <from>
                    <xdr:col>4</xdr:col>
                    <xdr:colOff>0</xdr:colOff>
                    <xdr:row>215</xdr:row>
                    <xdr:rowOff>142875</xdr:rowOff>
                  </from>
                  <to>
                    <xdr:col>5</xdr:col>
                    <xdr:colOff>95250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3" name="Check Box 223">
              <controlPr defaultSize="0" autoFill="0" autoLine="0" autoPict="0">
                <anchor moveWithCells="1">
                  <from>
                    <xdr:col>4</xdr:col>
                    <xdr:colOff>0</xdr:colOff>
                    <xdr:row>216</xdr:row>
                    <xdr:rowOff>142875</xdr:rowOff>
                  </from>
                  <to>
                    <xdr:col>5</xdr:col>
                    <xdr:colOff>95250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4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217</xdr:row>
                    <xdr:rowOff>142875</xdr:rowOff>
                  </from>
                  <to>
                    <xdr:col>5</xdr:col>
                    <xdr:colOff>95250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5" name="Check Box 225">
              <controlPr defaultSize="0" autoFill="0" autoLine="0" autoPict="0">
                <anchor moveWithCells="1">
                  <from>
                    <xdr:col>4</xdr:col>
                    <xdr:colOff>0</xdr:colOff>
                    <xdr:row>218</xdr:row>
                    <xdr:rowOff>142875</xdr:rowOff>
                  </from>
                  <to>
                    <xdr:col>5</xdr:col>
                    <xdr:colOff>95250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6" name="Check Box 226">
              <controlPr defaultSize="0" autoFill="0" autoLine="0" autoPict="0">
                <anchor moveWithCells="1">
                  <from>
                    <xdr:col>4</xdr:col>
                    <xdr:colOff>0</xdr:colOff>
                    <xdr:row>219</xdr:row>
                    <xdr:rowOff>142875</xdr:rowOff>
                  </from>
                  <to>
                    <xdr:col>5</xdr:col>
                    <xdr:colOff>95250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7" name="Check Box 227">
              <controlPr defaultSize="0" autoFill="0" autoLine="0" autoPict="0">
                <anchor moveWithCells="1">
                  <from>
                    <xdr:col>4</xdr:col>
                    <xdr:colOff>0</xdr:colOff>
                    <xdr:row>220</xdr:row>
                    <xdr:rowOff>142875</xdr:rowOff>
                  </from>
                  <to>
                    <xdr:col>5</xdr:col>
                    <xdr:colOff>95250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8" name="Check Box 228">
              <controlPr defaultSize="0" autoFill="0" autoLine="0" autoPict="0">
                <anchor moveWithCells="1">
                  <from>
                    <xdr:col>4</xdr:col>
                    <xdr:colOff>0</xdr:colOff>
                    <xdr:row>221</xdr:row>
                    <xdr:rowOff>142875</xdr:rowOff>
                  </from>
                  <to>
                    <xdr:col>5</xdr:col>
                    <xdr:colOff>95250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9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222</xdr:row>
                    <xdr:rowOff>142875</xdr:rowOff>
                  </from>
                  <to>
                    <xdr:col>5</xdr:col>
                    <xdr:colOff>95250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0" name="Check Box 230">
              <controlPr defaultSize="0" autoFill="0" autoLine="0" autoPict="0">
                <anchor moveWithCells="1">
                  <from>
                    <xdr:col>4</xdr:col>
                    <xdr:colOff>0</xdr:colOff>
                    <xdr:row>223</xdr:row>
                    <xdr:rowOff>142875</xdr:rowOff>
                  </from>
                  <to>
                    <xdr:col>5</xdr:col>
                    <xdr:colOff>95250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1" name="Check Box 231">
              <controlPr defaultSize="0" autoFill="0" autoLine="0" autoPict="0">
                <anchor moveWithCells="1">
                  <from>
                    <xdr:col>4</xdr:col>
                    <xdr:colOff>0</xdr:colOff>
                    <xdr:row>224</xdr:row>
                    <xdr:rowOff>142875</xdr:rowOff>
                  </from>
                  <to>
                    <xdr:col>5</xdr:col>
                    <xdr:colOff>95250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2" name="Check Box 232">
              <controlPr defaultSize="0" autoFill="0" autoLine="0" autoPict="0">
                <anchor moveWithCells="1">
                  <from>
                    <xdr:col>4</xdr:col>
                    <xdr:colOff>0</xdr:colOff>
                    <xdr:row>225</xdr:row>
                    <xdr:rowOff>142875</xdr:rowOff>
                  </from>
                  <to>
                    <xdr:col>5</xdr:col>
                    <xdr:colOff>95250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3" name="Check Box 233">
              <controlPr defaultSize="0" autoFill="0" autoLine="0" autoPict="0">
                <anchor moveWithCells="1">
                  <from>
                    <xdr:col>4</xdr:col>
                    <xdr:colOff>0</xdr:colOff>
                    <xdr:row>226</xdr:row>
                    <xdr:rowOff>142875</xdr:rowOff>
                  </from>
                  <to>
                    <xdr:col>5</xdr:col>
                    <xdr:colOff>95250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4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227</xdr:row>
                    <xdr:rowOff>142875</xdr:rowOff>
                  </from>
                  <to>
                    <xdr:col>5</xdr:col>
                    <xdr:colOff>95250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5" name="Check Box 235">
              <controlPr defaultSize="0" autoFill="0" autoLine="0" autoPict="0">
                <anchor moveWithCells="1">
                  <from>
                    <xdr:col>4</xdr:col>
                    <xdr:colOff>0</xdr:colOff>
                    <xdr:row>228</xdr:row>
                    <xdr:rowOff>142875</xdr:rowOff>
                  </from>
                  <to>
                    <xdr:col>5</xdr:col>
                    <xdr:colOff>95250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6" name="Check Box 236">
              <controlPr defaultSize="0" autoFill="0" autoLine="0" autoPict="0">
                <anchor moveWithCells="1">
                  <from>
                    <xdr:col>4</xdr:col>
                    <xdr:colOff>0</xdr:colOff>
                    <xdr:row>229</xdr:row>
                    <xdr:rowOff>142875</xdr:rowOff>
                  </from>
                  <to>
                    <xdr:col>5</xdr:col>
                    <xdr:colOff>95250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7" name="Check Box 237">
              <controlPr defaultSize="0" autoFill="0" autoLine="0" autoPict="0">
                <anchor moveWithCells="1">
                  <from>
                    <xdr:col>4</xdr:col>
                    <xdr:colOff>0</xdr:colOff>
                    <xdr:row>230</xdr:row>
                    <xdr:rowOff>142875</xdr:rowOff>
                  </from>
                  <to>
                    <xdr:col>5</xdr:col>
                    <xdr:colOff>95250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8" name="Check Box 238">
              <controlPr defaultSize="0" autoFill="0" autoLine="0" autoPict="0">
                <anchor moveWithCells="1">
                  <from>
                    <xdr:col>4</xdr:col>
                    <xdr:colOff>0</xdr:colOff>
                    <xdr:row>231</xdr:row>
                    <xdr:rowOff>142875</xdr:rowOff>
                  </from>
                  <to>
                    <xdr:col>5</xdr:col>
                    <xdr:colOff>95250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9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232</xdr:row>
                    <xdr:rowOff>142875</xdr:rowOff>
                  </from>
                  <to>
                    <xdr:col>5</xdr:col>
                    <xdr:colOff>95250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0" name="Check Box 240">
              <controlPr defaultSize="0" autoFill="0" autoLine="0" autoPict="0">
                <anchor moveWithCells="1">
                  <from>
                    <xdr:col>4</xdr:col>
                    <xdr:colOff>0</xdr:colOff>
                    <xdr:row>233</xdr:row>
                    <xdr:rowOff>142875</xdr:rowOff>
                  </from>
                  <to>
                    <xdr:col>5</xdr:col>
                    <xdr:colOff>95250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1" name="Check Box 241">
              <controlPr defaultSize="0" autoFill="0" autoLine="0" autoPict="0">
                <anchor moveWithCells="1">
                  <from>
                    <xdr:col>4</xdr:col>
                    <xdr:colOff>0</xdr:colOff>
                    <xdr:row>234</xdr:row>
                    <xdr:rowOff>142875</xdr:rowOff>
                  </from>
                  <to>
                    <xdr:col>5</xdr:col>
                    <xdr:colOff>95250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2" name="Check Box 242">
              <controlPr defaultSize="0" autoFill="0" autoLine="0" autoPict="0">
                <anchor moveWithCells="1">
                  <from>
                    <xdr:col>4</xdr:col>
                    <xdr:colOff>0</xdr:colOff>
                    <xdr:row>235</xdr:row>
                    <xdr:rowOff>142875</xdr:rowOff>
                  </from>
                  <to>
                    <xdr:col>5</xdr:col>
                    <xdr:colOff>95250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3" name="Check Box 243">
              <controlPr defaultSize="0" autoFill="0" autoLine="0" autoPict="0">
                <anchor moveWithCells="1">
                  <from>
                    <xdr:col>4</xdr:col>
                    <xdr:colOff>0</xdr:colOff>
                    <xdr:row>236</xdr:row>
                    <xdr:rowOff>142875</xdr:rowOff>
                  </from>
                  <to>
                    <xdr:col>5</xdr:col>
                    <xdr:colOff>95250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4" name="Check Box 244">
              <controlPr defaultSize="0" autoFill="0" autoLine="0" autoPict="0">
                <anchor moveWithCells="1">
                  <from>
                    <xdr:col>4</xdr:col>
                    <xdr:colOff>0</xdr:colOff>
                    <xdr:row>237</xdr:row>
                    <xdr:rowOff>142875</xdr:rowOff>
                  </from>
                  <to>
                    <xdr:col>5</xdr:col>
                    <xdr:colOff>95250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5" name="Check Box 245">
              <controlPr defaultSize="0" autoFill="0" autoLine="0" autoPict="0">
                <anchor moveWithCells="1">
                  <from>
                    <xdr:col>4</xdr:col>
                    <xdr:colOff>0</xdr:colOff>
                    <xdr:row>238</xdr:row>
                    <xdr:rowOff>142875</xdr:rowOff>
                  </from>
                  <to>
                    <xdr:col>5</xdr:col>
                    <xdr:colOff>95250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6" name="Check Box 246">
              <controlPr defaultSize="0" autoFill="0" autoLine="0" autoPict="0">
                <anchor moveWithCells="1">
                  <from>
                    <xdr:col>4</xdr:col>
                    <xdr:colOff>0</xdr:colOff>
                    <xdr:row>239</xdr:row>
                    <xdr:rowOff>142875</xdr:rowOff>
                  </from>
                  <to>
                    <xdr:col>5</xdr:col>
                    <xdr:colOff>95250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7" name="Check Box 247">
              <controlPr defaultSize="0" autoFill="0" autoLine="0" autoPict="0">
                <anchor moveWithCells="1">
                  <from>
                    <xdr:col>4</xdr:col>
                    <xdr:colOff>0</xdr:colOff>
                    <xdr:row>240</xdr:row>
                    <xdr:rowOff>142875</xdr:rowOff>
                  </from>
                  <to>
                    <xdr:col>5</xdr:col>
                    <xdr:colOff>95250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8" name="Check Box 248">
              <controlPr defaultSize="0" autoFill="0" autoLine="0" autoPict="0">
                <anchor moveWithCells="1">
                  <from>
                    <xdr:col>4</xdr:col>
                    <xdr:colOff>0</xdr:colOff>
                    <xdr:row>241</xdr:row>
                    <xdr:rowOff>142875</xdr:rowOff>
                  </from>
                  <to>
                    <xdr:col>5</xdr:col>
                    <xdr:colOff>95250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9" name="Check Box 249">
              <controlPr defaultSize="0" autoFill="0" autoLine="0" autoPict="0">
                <anchor moveWithCells="1">
                  <from>
                    <xdr:col>4</xdr:col>
                    <xdr:colOff>0</xdr:colOff>
                    <xdr:row>242</xdr:row>
                    <xdr:rowOff>142875</xdr:rowOff>
                  </from>
                  <to>
                    <xdr:col>5</xdr:col>
                    <xdr:colOff>95250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0" name="Check Box 250">
              <controlPr defaultSize="0" autoFill="0" autoLine="0" autoPict="0">
                <anchor moveWithCells="1">
                  <from>
                    <xdr:col>4</xdr:col>
                    <xdr:colOff>0</xdr:colOff>
                    <xdr:row>243</xdr:row>
                    <xdr:rowOff>142875</xdr:rowOff>
                  </from>
                  <to>
                    <xdr:col>5</xdr:col>
                    <xdr:colOff>95250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1" name="Check Box 251">
              <controlPr defaultSize="0" autoFill="0" autoLine="0" autoPict="0">
                <anchor moveWithCells="1">
                  <from>
                    <xdr:col>4</xdr:col>
                    <xdr:colOff>0</xdr:colOff>
                    <xdr:row>244</xdr:row>
                    <xdr:rowOff>142875</xdr:rowOff>
                  </from>
                  <to>
                    <xdr:col>5</xdr:col>
                    <xdr:colOff>95250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2" name="Check Box 252">
              <controlPr defaultSize="0" autoFill="0" autoLine="0" autoPict="0">
                <anchor moveWithCells="1">
                  <from>
                    <xdr:col>4</xdr:col>
                    <xdr:colOff>0</xdr:colOff>
                    <xdr:row>245</xdr:row>
                    <xdr:rowOff>142875</xdr:rowOff>
                  </from>
                  <to>
                    <xdr:col>5</xdr:col>
                    <xdr:colOff>95250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3" name="Check Box 253">
              <controlPr defaultSize="0" autoFill="0" autoLine="0" autoPict="0">
                <anchor moveWithCells="1">
                  <from>
                    <xdr:col>4</xdr:col>
                    <xdr:colOff>0</xdr:colOff>
                    <xdr:row>246</xdr:row>
                    <xdr:rowOff>142875</xdr:rowOff>
                  </from>
                  <to>
                    <xdr:col>5</xdr:col>
                    <xdr:colOff>95250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4" name="Check Box 254">
              <controlPr defaultSize="0" autoFill="0" autoLine="0" autoPict="0">
                <anchor moveWithCells="1">
                  <from>
                    <xdr:col>4</xdr:col>
                    <xdr:colOff>0</xdr:colOff>
                    <xdr:row>247</xdr:row>
                    <xdr:rowOff>142875</xdr:rowOff>
                  </from>
                  <to>
                    <xdr:col>5</xdr:col>
                    <xdr:colOff>95250</xdr:colOff>
                    <xdr:row>249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5" name="Check Box 255">
              <controlPr defaultSize="0" autoFill="0" autoLine="0" autoPict="0">
                <anchor moveWithCells="1">
                  <from>
                    <xdr:col>4</xdr:col>
                    <xdr:colOff>0</xdr:colOff>
                    <xdr:row>248</xdr:row>
                    <xdr:rowOff>142875</xdr:rowOff>
                  </from>
                  <to>
                    <xdr:col>5</xdr:col>
                    <xdr:colOff>95250</xdr:colOff>
                    <xdr:row>250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6" name="Check Box 256">
              <controlPr defaultSize="0" autoFill="0" autoLine="0" autoPict="0">
                <anchor moveWithCells="1">
                  <from>
                    <xdr:col>4</xdr:col>
                    <xdr:colOff>0</xdr:colOff>
                    <xdr:row>249</xdr:row>
                    <xdr:rowOff>142875</xdr:rowOff>
                  </from>
                  <to>
                    <xdr:col>5</xdr:col>
                    <xdr:colOff>95250</xdr:colOff>
                    <xdr:row>251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7" name="Check Box 257">
              <controlPr defaultSize="0" autoFill="0" autoLine="0" autoPict="0">
                <anchor moveWithCells="1">
                  <from>
                    <xdr:col>4</xdr:col>
                    <xdr:colOff>0</xdr:colOff>
                    <xdr:row>250</xdr:row>
                    <xdr:rowOff>142875</xdr:rowOff>
                  </from>
                  <to>
                    <xdr:col>5</xdr:col>
                    <xdr:colOff>95250</xdr:colOff>
                    <xdr:row>252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8" name="Check Box 258">
              <controlPr defaultSize="0" autoFill="0" autoLine="0" autoPict="0">
                <anchor moveWithCells="1">
                  <from>
                    <xdr:col>4</xdr:col>
                    <xdr:colOff>0</xdr:colOff>
                    <xdr:row>251</xdr:row>
                    <xdr:rowOff>142875</xdr:rowOff>
                  </from>
                  <to>
                    <xdr:col>5</xdr:col>
                    <xdr:colOff>95250</xdr:colOff>
                    <xdr:row>253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9" name="Check Box 259">
              <controlPr defaultSize="0" autoFill="0" autoLine="0" autoPict="0">
                <anchor moveWithCells="1">
                  <from>
                    <xdr:col>4</xdr:col>
                    <xdr:colOff>0</xdr:colOff>
                    <xdr:row>252</xdr:row>
                    <xdr:rowOff>142875</xdr:rowOff>
                  </from>
                  <to>
                    <xdr:col>5</xdr:col>
                    <xdr:colOff>95250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0" name="Check Box 260">
              <controlPr defaultSize="0" autoFill="0" autoLine="0" autoPict="0">
                <anchor moveWithCells="1">
                  <from>
                    <xdr:col>4</xdr:col>
                    <xdr:colOff>0</xdr:colOff>
                    <xdr:row>253</xdr:row>
                    <xdr:rowOff>142875</xdr:rowOff>
                  </from>
                  <to>
                    <xdr:col>5</xdr:col>
                    <xdr:colOff>95250</xdr:colOff>
                    <xdr:row>255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1" name="Check Box 261">
              <controlPr defaultSize="0" autoFill="0" autoLine="0" autoPict="0">
                <anchor moveWithCells="1">
                  <from>
                    <xdr:col>4</xdr:col>
                    <xdr:colOff>0</xdr:colOff>
                    <xdr:row>254</xdr:row>
                    <xdr:rowOff>142875</xdr:rowOff>
                  </from>
                  <to>
                    <xdr:col>5</xdr:col>
                    <xdr:colOff>95250</xdr:colOff>
                    <xdr:row>256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2" name="Check Box 262">
              <controlPr defaultSize="0" autoFill="0" autoLine="0" autoPict="0">
                <anchor moveWithCells="1">
                  <from>
                    <xdr:col>4</xdr:col>
                    <xdr:colOff>0</xdr:colOff>
                    <xdr:row>255</xdr:row>
                    <xdr:rowOff>142875</xdr:rowOff>
                  </from>
                  <to>
                    <xdr:col>5</xdr:col>
                    <xdr:colOff>95250</xdr:colOff>
                    <xdr:row>257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3" name="Check Box 263">
              <controlPr defaultSize="0" autoFill="0" autoLine="0" autoPict="0">
                <anchor moveWithCells="1">
                  <from>
                    <xdr:col>4</xdr:col>
                    <xdr:colOff>0</xdr:colOff>
                    <xdr:row>256</xdr:row>
                    <xdr:rowOff>142875</xdr:rowOff>
                  </from>
                  <to>
                    <xdr:col>5</xdr:col>
                    <xdr:colOff>95250</xdr:colOff>
                    <xdr:row>258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4" name="Check Box 264">
              <controlPr defaultSize="0" autoFill="0" autoLine="0" autoPict="0">
                <anchor moveWithCells="1">
                  <from>
                    <xdr:col>4</xdr:col>
                    <xdr:colOff>0</xdr:colOff>
                    <xdr:row>257</xdr:row>
                    <xdr:rowOff>142875</xdr:rowOff>
                  </from>
                  <to>
                    <xdr:col>5</xdr:col>
                    <xdr:colOff>95250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5" name="Check Box 265">
              <controlPr defaultSize="0" autoFill="0" autoLine="0" autoPict="0">
                <anchor moveWithCells="1">
                  <from>
                    <xdr:col>4</xdr:col>
                    <xdr:colOff>0</xdr:colOff>
                    <xdr:row>258</xdr:row>
                    <xdr:rowOff>142875</xdr:rowOff>
                  </from>
                  <to>
                    <xdr:col>5</xdr:col>
                    <xdr:colOff>95250</xdr:colOff>
                    <xdr:row>260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6" name="Check Box 266">
              <controlPr defaultSize="0" autoFill="0" autoLine="0" autoPict="0">
                <anchor moveWithCells="1">
                  <from>
                    <xdr:col>4</xdr:col>
                    <xdr:colOff>0</xdr:colOff>
                    <xdr:row>259</xdr:row>
                    <xdr:rowOff>142875</xdr:rowOff>
                  </from>
                  <to>
                    <xdr:col>5</xdr:col>
                    <xdr:colOff>95250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7" name="Check Box 267">
              <controlPr defaultSize="0" autoFill="0" autoLine="0" autoPict="0">
                <anchor moveWithCells="1">
                  <from>
                    <xdr:col>4</xdr:col>
                    <xdr:colOff>0</xdr:colOff>
                    <xdr:row>260</xdr:row>
                    <xdr:rowOff>142875</xdr:rowOff>
                  </from>
                  <to>
                    <xdr:col>5</xdr:col>
                    <xdr:colOff>95250</xdr:colOff>
                    <xdr:row>262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8" name="Check Box 268">
              <controlPr defaultSize="0" autoFill="0" autoLine="0" autoPict="0">
                <anchor moveWithCells="1">
                  <from>
                    <xdr:col>4</xdr:col>
                    <xdr:colOff>0</xdr:colOff>
                    <xdr:row>261</xdr:row>
                    <xdr:rowOff>142875</xdr:rowOff>
                  </from>
                  <to>
                    <xdr:col>5</xdr:col>
                    <xdr:colOff>95250</xdr:colOff>
                    <xdr:row>263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9" name="Check Box 269">
              <controlPr defaultSize="0" autoFill="0" autoLine="0" autoPict="0">
                <anchor moveWithCells="1">
                  <from>
                    <xdr:col>4</xdr:col>
                    <xdr:colOff>0</xdr:colOff>
                    <xdr:row>262</xdr:row>
                    <xdr:rowOff>142875</xdr:rowOff>
                  </from>
                  <to>
                    <xdr:col>5</xdr:col>
                    <xdr:colOff>95250</xdr:colOff>
                    <xdr:row>264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0" name="Check Box 270">
              <controlPr defaultSize="0" autoFill="0" autoLine="0" autoPict="0">
                <anchor moveWithCells="1">
                  <from>
                    <xdr:col>4</xdr:col>
                    <xdr:colOff>0</xdr:colOff>
                    <xdr:row>263</xdr:row>
                    <xdr:rowOff>142875</xdr:rowOff>
                  </from>
                  <to>
                    <xdr:col>5</xdr:col>
                    <xdr:colOff>95250</xdr:colOff>
                    <xdr:row>265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1" name="Check Box 271">
              <controlPr defaultSize="0" autoFill="0" autoLine="0" autoPict="0">
                <anchor moveWithCells="1">
                  <from>
                    <xdr:col>4</xdr:col>
                    <xdr:colOff>0</xdr:colOff>
                    <xdr:row>264</xdr:row>
                    <xdr:rowOff>142875</xdr:rowOff>
                  </from>
                  <to>
                    <xdr:col>5</xdr:col>
                    <xdr:colOff>95250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2" name="Check Box 272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142875</xdr:rowOff>
                  </from>
                  <to>
                    <xdr:col>5</xdr:col>
                    <xdr:colOff>95250</xdr:colOff>
                    <xdr:row>267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3" name="Check Box 273">
              <controlPr defaultSize="0" autoFill="0" autoLine="0" autoPict="0">
                <anchor moveWithCells="1">
                  <from>
                    <xdr:col>4</xdr:col>
                    <xdr:colOff>0</xdr:colOff>
                    <xdr:row>266</xdr:row>
                    <xdr:rowOff>142875</xdr:rowOff>
                  </from>
                  <to>
                    <xdr:col>5</xdr:col>
                    <xdr:colOff>95250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4" name="Check Box 274">
              <controlPr defaultSize="0" autoFill="0" autoLine="0" autoPict="0">
                <anchor moveWithCells="1">
                  <from>
                    <xdr:col>4</xdr:col>
                    <xdr:colOff>0</xdr:colOff>
                    <xdr:row>267</xdr:row>
                    <xdr:rowOff>142875</xdr:rowOff>
                  </from>
                  <to>
                    <xdr:col>5</xdr:col>
                    <xdr:colOff>95250</xdr:colOff>
                    <xdr:row>269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5" name="Check Box 275">
              <controlPr defaultSize="0" autoFill="0" autoLine="0" autoPict="0">
                <anchor moveWithCells="1">
                  <from>
                    <xdr:col>4</xdr:col>
                    <xdr:colOff>0</xdr:colOff>
                    <xdr:row>268</xdr:row>
                    <xdr:rowOff>142875</xdr:rowOff>
                  </from>
                  <to>
                    <xdr:col>5</xdr:col>
                    <xdr:colOff>95250</xdr:colOff>
                    <xdr:row>270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6" name="Check Box 276">
              <controlPr defaultSize="0" autoFill="0" autoLine="0" autoPict="0">
                <anchor moveWithCells="1">
                  <from>
                    <xdr:col>4</xdr:col>
                    <xdr:colOff>0</xdr:colOff>
                    <xdr:row>269</xdr:row>
                    <xdr:rowOff>142875</xdr:rowOff>
                  </from>
                  <to>
                    <xdr:col>5</xdr:col>
                    <xdr:colOff>95250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7" name="Check Box 277">
              <controlPr defaultSize="0" autoFill="0" autoLine="0" autoPict="0">
                <anchor moveWithCells="1">
                  <from>
                    <xdr:col>4</xdr:col>
                    <xdr:colOff>0</xdr:colOff>
                    <xdr:row>270</xdr:row>
                    <xdr:rowOff>142875</xdr:rowOff>
                  </from>
                  <to>
                    <xdr:col>5</xdr:col>
                    <xdr:colOff>95250</xdr:colOff>
                    <xdr:row>272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8" name="Check Box 278">
              <controlPr defaultSize="0" autoFill="0" autoLine="0" autoPict="0">
                <anchor moveWithCells="1">
                  <from>
                    <xdr:col>4</xdr:col>
                    <xdr:colOff>0</xdr:colOff>
                    <xdr:row>271</xdr:row>
                    <xdr:rowOff>142875</xdr:rowOff>
                  </from>
                  <to>
                    <xdr:col>5</xdr:col>
                    <xdr:colOff>95250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9" name="Check Box 279">
              <controlPr defaultSize="0" autoFill="0" autoLine="0" autoPict="0">
                <anchor moveWithCells="1">
                  <from>
                    <xdr:col>4</xdr:col>
                    <xdr:colOff>0</xdr:colOff>
                    <xdr:row>272</xdr:row>
                    <xdr:rowOff>142875</xdr:rowOff>
                  </from>
                  <to>
                    <xdr:col>5</xdr:col>
                    <xdr:colOff>95250</xdr:colOff>
                    <xdr:row>274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0" name="Check Box 280">
              <controlPr defaultSize="0" autoFill="0" autoLine="0" autoPict="0">
                <anchor moveWithCells="1">
                  <from>
                    <xdr:col>4</xdr:col>
                    <xdr:colOff>0</xdr:colOff>
                    <xdr:row>273</xdr:row>
                    <xdr:rowOff>142875</xdr:rowOff>
                  </from>
                  <to>
                    <xdr:col>5</xdr:col>
                    <xdr:colOff>95250</xdr:colOff>
                    <xdr:row>275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1" name="Check Box 281">
              <controlPr defaultSize="0" autoFill="0" autoLine="0" autoPict="0">
                <anchor moveWithCells="1">
                  <from>
                    <xdr:col>4</xdr:col>
                    <xdr:colOff>0</xdr:colOff>
                    <xdr:row>274</xdr:row>
                    <xdr:rowOff>142875</xdr:rowOff>
                  </from>
                  <to>
                    <xdr:col>5</xdr:col>
                    <xdr:colOff>95250</xdr:colOff>
                    <xdr:row>276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2" name="Check Box 282">
              <controlPr defaultSize="0" autoFill="0" autoLine="0" autoPict="0">
                <anchor moveWithCells="1">
                  <from>
                    <xdr:col>4</xdr:col>
                    <xdr:colOff>0</xdr:colOff>
                    <xdr:row>275</xdr:row>
                    <xdr:rowOff>142875</xdr:rowOff>
                  </from>
                  <to>
                    <xdr:col>5</xdr:col>
                    <xdr:colOff>95250</xdr:colOff>
                    <xdr:row>277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3" name="Check Box 283">
              <controlPr defaultSize="0" autoFill="0" autoLine="0" autoPict="0">
                <anchor moveWithCells="1">
                  <from>
                    <xdr:col>4</xdr:col>
                    <xdr:colOff>0</xdr:colOff>
                    <xdr:row>276</xdr:row>
                    <xdr:rowOff>142875</xdr:rowOff>
                  </from>
                  <to>
                    <xdr:col>5</xdr:col>
                    <xdr:colOff>95250</xdr:colOff>
                    <xdr:row>278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4" name="Check Box 284">
              <controlPr defaultSize="0" autoFill="0" autoLine="0" autoPict="0">
                <anchor moveWithCells="1">
                  <from>
                    <xdr:col>4</xdr:col>
                    <xdr:colOff>0</xdr:colOff>
                    <xdr:row>277</xdr:row>
                    <xdr:rowOff>142875</xdr:rowOff>
                  </from>
                  <to>
                    <xdr:col>5</xdr:col>
                    <xdr:colOff>95250</xdr:colOff>
                    <xdr:row>279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5" name="Check Box 285">
              <controlPr defaultSize="0" autoFill="0" autoLine="0" autoPict="0">
                <anchor moveWithCells="1">
                  <from>
                    <xdr:col>4</xdr:col>
                    <xdr:colOff>0</xdr:colOff>
                    <xdr:row>278</xdr:row>
                    <xdr:rowOff>142875</xdr:rowOff>
                  </from>
                  <to>
                    <xdr:col>5</xdr:col>
                    <xdr:colOff>95250</xdr:colOff>
                    <xdr:row>280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6" name="Check Box 286">
              <controlPr defaultSize="0" autoFill="0" autoLine="0" autoPict="0">
                <anchor moveWithCells="1">
                  <from>
                    <xdr:col>4</xdr:col>
                    <xdr:colOff>0</xdr:colOff>
                    <xdr:row>279</xdr:row>
                    <xdr:rowOff>142875</xdr:rowOff>
                  </from>
                  <to>
                    <xdr:col>5</xdr:col>
                    <xdr:colOff>95250</xdr:colOff>
                    <xdr:row>281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7" name="Check Box 287">
              <controlPr defaultSize="0" autoFill="0" autoLine="0" autoPict="0">
                <anchor moveWithCells="1">
                  <from>
                    <xdr:col>4</xdr:col>
                    <xdr:colOff>0</xdr:colOff>
                    <xdr:row>280</xdr:row>
                    <xdr:rowOff>142875</xdr:rowOff>
                  </from>
                  <to>
                    <xdr:col>5</xdr:col>
                    <xdr:colOff>95250</xdr:colOff>
                    <xdr:row>282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8" name="Check Box 288">
              <controlPr defaultSize="0" autoFill="0" autoLine="0" autoPict="0">
                <anchor moveWithCells="1">
                  <from>
                    <xdr:col>4</xdr:col>
                    <xdr:colOff>0</xdr:colOff>
                    <xdr:row>281</xdr:row>
                    <xdr:rowOff>142875</xdr:rowOff>
                  </from>
                  <to>
                    <xdr:col>5</xdr:col>
                    <xdr:colOff>95250</xdr:colOff>
                    <xdr:row>283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9" name="Check Box 289">
              <controlPr defaultSize="0" autoFill="0" autoLine="0" autoPict="0">
                <anchor moveWithCells="1">
                  <from>
                    <xdr:col>4</xdr:col>
                    <xdr:colOff>0</xdr:colOff>
                    <xdr:row>282</xdr:row>
                    <xdr:rowOff>142875</xdr:rowOff>
                  </from>
                  <to>
                    <xdr:col>5</xdr:col>
                    <xdr:colOff>95250</xdr:colOff>
                    <xdr:row>284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0" name="Check Box 290">
              <controlPr defaultSize="0" autoFill="0" autoLine="0" autoPict="0">
                <anchor moveWithCells="1">
                  <from>
                    <xdr:col>4</xdr:col>
                    <xdr:colOff>0</xdr:colOff>
                    <xdr:row>283</xdr:row>
                    <xdr:rowOff>142875</xdr:rowOff>
                  </from>
                  <to>
                    <xdr:col>5</xdr:col>
                    <xdr:colOff>95250</xdr:colOff>
                    <xdr:row>285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1" name="Check Box 291">
              <controlPr defaultSize="0" autoFill="0" autoLine="0" autoPict="0">
                <anchor moveWithCells="1">
                  <from>
                    <xdr:col>4</xdr:col>
                    <xdr:colOff>0</xdr:colOff>
                    <xdr:row>284</xdr:row>
                    <xdr:rowOff>142875</xdr:rowOff>
                  </from>
                  <to>
                    <xdr:col>5</xdr:col>
                    <xdr:colOff>95250</xdr:colOff>
                    <xdr:row>286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2" name="Check Box 292">
              <controlPr defaultSize="0" autoFill="0" autoLine="0" autoPict="0">
                <anchor moveWithCells="1">
                  <from>
                    <xdr:col>4</xdr:col>
                    <xdr:colOff>0</xdr:colOff>
                    <xdr:row>285</xdr:row>
                    <xdr:rowOff>142875</xdr:rowOff>
                  </from>
                  <to>
                    <xdr:col>5</xdr:col>
                    <xdr:colOff>95250</xdr:colOff>
                    <xdr:row>287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3" name="Check Box 293">
              <controlPr defaultSize="0" autoFill="0" autoLine="0" autoPict="0">
                <anchor moveWithCells="1">
                  <from>
                    <xdr:col>4</xdr:col>
                    <xdr:colOff>0</xdr:colOff>
                    <xdr:row>286</xdr:row>
                    <xdr:rowOff>142875</xdr:rowOff>
                  </from>
                  <to>
                    <xdr:col>5</xdr:col>
                    <xdr:colOff>95250</xdr:colOff>
                    <xdr:row>288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4" name="Check Box 294">
              <controlPr defaultSize="0" autoFill="0" autoLine="0" autoPict="0">
                <anchor moveWithCells="1">
                  <from>
                    <xdr:col>4</xdr:col>
                    <xdr:colOff>0</xdr:colOff>
                    <xdr:row>287</xdr:row>
                    <xdr:rowOff>142875</xdr:rowOff>
                  </from>
                  <to>
                    <xdr:col>5</xdr:col>
                    <xdr:colOff>95250</xdr:colOff>
                    <xdr:row>289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5" name="Check Box 295">
              <controlPr defaultSize="0" autoFill="0" autoLine="0" autoPict="0">
                <anchor moveWithCells="1">
                  <from>
                    <xdr:col>4</xdr:col>
                    <xdr:colOff>0</xdr:colOff>
                    <xdr:row>288</xdr:row>
                    <xdr:rowOff>142875</xdr:rowOff>
                  </from>
                  <to>
                    <xdr:col>5</xdr:col>
                    <xdr:colOff>95250</xdr:colOff>
                    <xdr:row>290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6" name="Check Box 296">
              <controlPr defaultSize="0" autoFill="0" autoLine="0" autoPict="0">
                <anchor moveWithCells="1">
                  <from>
                    <xdr:col>4</xdr:col>
                    <xdr:colOff>0</xdr:colOff>
                    <xdr:row>289</xdr:row>
                    <xdr:rowOff>142875</xdr:rowOff>
                  </from>
                  <to>
                    <xdr:col>5</xdr:col>
                    <xdr:colOff>95250</xdr:colOff>
                    <xdr:row>291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7" name="Check Box 297">
              <controlPr defaultSize="0" autoFill="0" autoLine="0" autoPict="0">
                <anchor moveWithCells="1">
                  <from>
                    <xdr:col>4</xdr:col>
                    <xdr:colOff>0</xdr:colOff>
                    <xdr:row>290</xdr:row>
                    <xdr:rowOff>142875</xdr:rowOff>
                  </from>
                  <to>
                    <xdr:col>5</xdr:col>
                    <xdr:colOff>95250</xdr:colOff>
                    <xdr:row>292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8" name="Check Box 298">
              <controlPr defaultSize="0" autoFill="0" autoLine="0" autoPict="0">
                <anchor moveWithCells="1">
                  <from>
                    <xdr:col>4</xdr:col>
                    <xdr:colOff>0</xdr:colOff>
                    <xdr:row>291</xdr:row>
                    <xdr:rowOff>142875</xdr:rowOff>
                  </from>
                  <to>
                    <xdr:col>5</xdr:col>
                    <xdr:colOff>95250</xdr:colOff>
                    <xdr:row>293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9" name="Check Box 299">
              <controlPr defaultSize="0" autoFill="0" autoLine="0" autoPict="0">
                <anchor moveWithCells="1">
                  <from>
                    <xdr:col>4</xdr:col>
                    <xdr:colOff>0</xdr:colOff>
                    <xdr:row>292</xdr:row>
                    <xdr:rowOff>142875</xdr:rowOff>
                  </from>
                  <to>
                    <xdr:col>5</xdr:col>
                    <xdr:colOff>95250</xdr:colOff>
                    <xdr:row>294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0" name="Check Box 300">
              <controlPr defaultSize="0" autoFill="0" autoLine="0" autoPict="0">
                <anchor moveWithCells="1">
                  <from>
                    <xdr:col>4</xdr:col>
                    <xdr:colOff>0</xdr:colOff>
                    <xdr:row>293</xdr:row>
                    <xdr:rowOff>142875</xdr:rowOff>
                  </from>
                  <to>
                    <xdr:col>5</xdr:col>
                    <xdr:colOff>95250</xdr:colOff>
                    <xdr:row>295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1" name="Check Box 301">
              <controlPr defaultSize="0" autoFill="0" autoLine="0" autoPict="0">
                <anchor moveWithCells="1">
                  <from>
                    <xdr:col>4</xdr:col>
                    <xdr:colOff>0</xdr:colOff>
                    <xdr:row>294</xdr:row>
                    <xdr:rowOff>142875</xdr:rowOff>
                  </from>
                  <to>
                    <xdr:col>5</xdr:col>
                    <xdr:colOff>95250</xdr:colOff>
                    <xdr:row>296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2" name="Check Box 302">
              <controlPr defaultSize="0" autoFill="0" autoLine="0" autoPict="0">
                <anchor moveWithCells="1">
                  <from>
                    <xdr:col>4</xdr:col>
                    <xdr:colOff>0</xdr:colOff>
                    <xdr:row>295</xdr:row>
                    <xdr:rowOff>142875</xdr:rowOff>
                  </from>
                  <to>
                    <xdr:col>5</xdr:col>
                    <xdr:colOff>95250</xdr:colOff>
                    <xdr:row>297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3" name="Check Box 303">
              <controlPr defaultSize="0" autoFill="0" autoLine="0" autoPict="0">
                <anchor moveWithCells="1">
                  <from>
                    <xdr:col>4</xdr:col>
                    <xdr:colOff>0</xdr:colOff>
                    <xdr:row>296</xdr:row>
                    <xdr:rowOff>142875</xdr:rowOff>
                  </from>
                  <to>
                    <xdr:col>5</xdr:col>
                    <xdr:colOff>95250</xdr:colOff>
                    <xdr:row>298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4" name="Check Box 304">
              <controlPr defaultSize="0" autoFill="0" autoLine="0" autoPict="0">
                <anchor moveWithCells="1">
                  <from>
                    <xdr:col>4</xdr:col>
                    <xdr:colOff>0</xdr:colOff>
                    <xdr:row>297</xdr:row>
                    <xdr:rowOff>142875</xdr:rowOff>
                  </from>
                  <to>
                    <xdr:col>5</xdr:col>
                    <xdr:colOff>95250</xdr:colOff>
                    <xdr:row>299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5" name="Check Box 305">
              <controlPr defaultSize="0" autoFill="0" autoLine="0" autoPict="0">
                <anchor moveWithCells="1">
                  <from>
                    <xdr:col>4</xdr:col>
                    <xdr:colOff>0</xdr:colOff>
                    <xdr:row>298</xdr:row>
                    <xdr:rowOff>142875</xdr:rowOff>
                  </from>
                  <to>
                    <xdr:col>5</xdr:col>
                    <xdr:colOff>95250</xdr:colOff>
                    <xdr:row>300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6" name="Check Box 306">
              <controlPr defaultSize="0" autoFill="0" autoLine="0" autoPict="0">
                <anchor moveWithCells="1">
                  <from>
                    <xdr:col>4</xdr:col>
                    <xdr:colOff>0</xdr:colOff>
                    <xdr:row>299</xdr:row>
                    <xdr:rowOff>142875</xdr:rowOff>
                  </from>
                  <to>
                    <xdr:col>5</xdr:col>
                    <xdr:colOff>95250</xdr:colOff>
                    <xdr:row>301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7" name="Check Box 307">
              <controlPr defaultSize="0" autoFill="0" autoLine="0" autoPict="0">
                <anchor moveWithCells="1">
                  <from>
                    <xdr:col>4</xdr:col>
                    <xdr:colOff>0</xdr:colOff>
                    <xdr:row>300</xdr:row>
                    <xdr:rowOff>142875</xdr:rowOff>
                  </from>
                  <to>
                    <xdr:col>5</xdr:col>
                    <xdr:colOff>95250</xdr:colOff>
                    <xdr:row>302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8" name="Check Box 308">
              <controlPr defaultSize="0" autoFill="0" autoLine="0" autoPict="0">
                <anchor moveWithCells="1">
                  <from>
                    <xdr:col>4</xdr:col>
                    <xdr:colOff>0</xdr:colOff>
                    <xdr:row>301</xdr:row>
                    <xdr:rowOff>142875</xdr:rowOff>
                  </from>
                  <to>
                    <xdr:col>5</xdr:col>
                    <xdr:colOff>95250</xdr:colOff>
                    <xdr:row>303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9" name="Check Box 309">
              <controlPr defaultSize="0" autoFill="0" autoLine="0" autoPict="0">
                <anchor moveWithCells="1">
                  <from>
                    <xdr:col>4</xdr:col>
                    <xdr:colOff>0</xdr:colOff>
                    <xdr:row>302</xdr:row>
                    <xdr:rowOff>142875</xdr:rowOff>
                  </from>
                  <to>
                    <xdr:col>5</xdr:col>
                    <xdr:colOff>95250</xdr:colOff>
                    <xdr:row>304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0" name="Check Box 310">
              <controlPr defaultSize="0" autoFill="0" autoLine="0" autoPict="0">
                <anchor moveWithCells="1">
                  <from>
                    <xdr:col>4</xdr:col>
                    <xdr:colOff>0</xdr:colOff>
                    <xdr:row>303</xdr:row>
                    <xdr:rowOff>142875</xdr:rowOff>
                  </from>
                  <to>
                    <xdr:col>5</xdr:col>
                    <xdr:colOff>95250</xdr:colOff>
                    <xdr:row>305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1" name="Check Box 311">
              <controlPr defaultSize="0" autoFill="0" autoLine="0" autoPict="0">
                <anchor moveWithCells="1">
                  <from>
                    <xdr:col>4</xdr:col>
                    <xdr:colOff>0</xdr:colOff>
                    <xdr:row>304</xdr:row>
                    <xdr:rowOff>142875</xdr:rowOff>
                  </from>
                  <to>
                    <xdr:col>5</xdr:col>
                    <xdr:colOff>95250</xdr:colOff>
                    <xdr:row>306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2" name="Check Box 312">
              <controlPr defaultSize="0" autoFill="0" autoLine="0" autoPict="0">
                <anchor moveWithCells="1">
                  <from>
                    <xdr:col>4</xdr:col>
                    <xdr:colOff>0</xdr:colOff>
                    <xdr:row>305</xdr:row>
                    <xdr:rowOff>142875</xdr:rowOff>
                  </from>
                  <to>
                    <xdr:col>5</xdr:col>
                    <xdr:colOff>95250</xdr:colOff>
                    <xdr:row>307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3" name="Check Box 313">
              <controlPr defaultSize="0" autoFill="0" autoLine="0" autoPict="0">
                <anchor moveWithCells="1">
                  <from>
                    <xdr:col>4</xdr:col>
                    <xdr:colOff>0</xdr:colOff>
                    <xdr:row>306</xdr:row>
                    <xdr:rowOff>142875</xdr:rowOff>
                  </from>
                  <to>
                    <xdr:col>5</xdr:col>
                    <xdr:colOff>95250</xdr:colOff>
                    <xdr:row>308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4" name="Check Box 314">
              <controlPr defaultSize="0" autoFill="0" autoLine="0" autoPict="0">
                <anchor moveWithCells="1">
                  <from>
                    <xdr:col>4</xdr:col>
                    <xdr:colOff>0</xdr:colOff>
                    <xdr:row>307</xdr:row>
                    <xdr:rowOff>142875</xdr:rowOff>
                  </from>
                  <to>
                    <xdr:col>5</xdr:col>
                    <xdr:colOff>95250</xdr:colOff>
                    <xdr:row>309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5" name="Check Box 315">
              <controlPr defaultSize="0" autoFill="0" autoLine="0" autoPict="0">
                <anchor moveWithCells="1">
                  <from>
                    <xdr:col>4</xdr:col>
                    <xdr:colOff>0</xdr:colOff>
                    <xdr:row>308</xdr:row>
                    <xdr:rowOff>142875</xdr:rowOff>
                  </from>
                  <to>
                    <xdr:col>5</xdr:col>
                    <xdr:colOff>95250</xdr:colOff>
                    <xdr:row>310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6" name="Check Box 316">
              <controlPr defaultSize="0" autoFill="0" autoLine="0" autoPict="0">
                <anchor moveWithCells="1">
                  <from>
                    <xdr:col>4</xdr:col>
                    <xdr:colOff>0</xdr:colOff>
                    <xdr:row>309</xdr:row>
                    <xdr:rowOff>142875</xdr:rowOff>
                  </from>
                  <to>
                    <xdr:col>5</xdr:col>
                    <xdr:colOff>95250</xdr:colOff>
                    <xdr:row>311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7" name="Check Box 317">
              <controlPr defaultSize="0" autoFill="0" autoLine="0" autoPict="0">
                <anchor moveWithCells="1">
                  <from>
                    <xdr:col>4</xdr:col>
                    <xdr:colOff>0</xdr:colOff>
                    <xdr:row>310</xdr:row>
                    <xdr:rowOff>142875</xdr:rowOff>
                  </from>
                  <to>
                    <xdr:col>5</xdr:col>
                    <xdr:colOff>95250</xdr:colOff>
                    <xdr:row>312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8" name="Check Box 318">
              <controlPr defaultSize="0" autoFill="0" autoLine="0" autoPict="0">
                <anchor moveWithCells="1">
                  <from>
                    <xdr:col>4</xdr:col>
                    <xdr:colOff>0</xdr:colOff>
                    <xdr:row>311</xdr:row>
                    <xdr:rowOff>142875</xdr:rowOff>
                  </from>
                  <to>
                    <xdr:col>5</xdr:col>
                    <xdr:colOff>95250</xdr:colOff>
                    <xdr:row>313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9" name="Check Box 319">
              <controlPr defaultSize="0" autoFill="0" autoLine="0" autoPict="0">
                <anchor moveWithCells="1">
                  <from>
                    <xdr:col>4</xdr:col>
                    <xdr:colOff>0</xdr:colOff>
                    <xdr:row>312</xdr:row>
                    <xdr:rowOff>142875</xdr:rowOff>
                  </from>
                  <to>
                    <xdr:col>5</xdr:col>
                    <xdr:colOff>95250</xdr:colOff>
                    <xdr:row>314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0" name="Check Box 320">
              <controlPr defaultSize="0" autoFill="0" autoLine="0" autoPict="0">
                <anchor moveWithCells="1">
                  <from>
                    <xdr:col>4</xdr:col>
                    <xdr:colOff>0</xdr:colOff>
                    <xdr:row>313</xdr:row>
                    <xdr:rowOff>142875</xdr:rowOff>
                  </from>
                  <to>
                    <xdr:col>5</xdr:col>
                    <xdr:colOff>95250</xdr:colOff>
                    <xdr:row>315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1" name="Check Box 321">
              <controlPr defaultSize="0" autoFill="0" autoLine="0" autoPict="0">
                <anchor moveWithCells="1">
                  <from>
                    <xdr:col>4</xdr:col>
                    <xdr:colOff>0</xdr:colOff>
                    <xdr:row>314</xdr:row>
                    <xdr:rowOff>142875</xdr:rowOff>
                  </from>
                  <to>
                    <xdr:col>5</xdr:col>
                    <xdr:colOff>95250</xdr:colOff>
                    <xdr:row>316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2" name="Check Box 322">
              <controlPr defaultSize="0" autoFill="0" autoLine="0" autoPict="0">
                <anchor moveWithCells="1">
                  <from>
                    <xdr:col>4</xdr:col>
                    <xdr:colOff>0</xdr:colOff>
                    <xdr:row>315</xdr:row>
                    <xdr:rowOff>142875</xdr:rowOff>
                  </from>
                  <to>
                    <xdr:col>5</xdr:col>
                    <xdr:colOff>95250</xdr:colOff>
                    <xdr:row>317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3" name="Check Box 323">
              <controlPr defaultSize="0" autoFill="0" autoLine="0" autoPict="0">
                <anchor moveWithCells="1">
                  <from>
                    <xdr:col>4</xdr:col>
                    <xdr:colOff>0</xdr:colOff>
                    <xdr:row>316</xdr:row>
                    <xdr:rowOff>142875</xdr:rowOff>
                  </from>
                  <to>
                    <xdr:col>5</xdr:col>
                    <xdr:colOff>95250</xdr:colOff>
                    <xdr:row>318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4" name="Check Box 324">
              <controlPr defaultSize="0" autoFill="0" autoLine="0" autoPict="0">
                <anchor moveWithCells="1">
                  <from>
                    <xdr:col>4</xdr:col>
                    <xdr:colOff>0</xdr:colOff>
                    <xdr:row>317</xdr:row>
                    <xdr:rowOff>142875</xdr:rowOff>
                  </from>
                  <to>
                    <xdr:col>5</xdr:col>
                    <xdr:colOff>95250</xdr:colOff>
                    <xdr:row>319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5" name="Check Box 325">
              <controlPr defaultSize="0" autoFill="0" autoLine="0" autoPict="0">
                <anchor moveWithCells="1">
                  <from>
                    <xdr:col>4</xdr:col>
                    <xdr:colOff>0</xdr:colOff>
                    <xdr:row>318</xdr:row>
                    <xdr:rowOff>142875</xdr:rowOff>
                  </from>
                  <to>
                    <xdr:col>5</xdr:col>
                    <xdr:colOff>95250</xdr:colOff>
                    <xdr:row>320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6" name="Check Box 326">
              <controlPr defaultSize="0" autoFill="0" autoLine="0" autoPict="0">
                <anchor moveWithCells="1">
                  <from>
                    <xdr:col>4</xdr:col>
                    <xdr:colOff>0</xdr:colOff>
                    <xdr:row>319</xdr:row>
                    <xdr:rowOff>142875</xdr:rowOff>
                  </from>
                  <to>
                    <xdr:col>5</xdr:col>
                    <xdr:colOff>95250</xdr:colOff>
                    <xdr:row>321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7" name="Check Box 327">
              <controlPr defaultSize="0" autoFill="0" autoLine="0" autoPict="0">
                <anchor moveWithCells="1">
                  <from>
                    <xdr:col>4</xdr:col>
                    <xdr:colOff>0</xdr:colOff>
                    <xdr:row>320</xdr:row>
                    <xdr:rowOff>142875</xdr:rowOff>
                  </from>
                  <to>
                    <xdr:col>5</xdr:col>
                    <xdr:colOff>95250</xdr:colOff>
                    <xdr:row>322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8" name="Check Box 328">
              <controlPr defaultSize="0" autoFill="0" autoLine="0" autoPict="0">
                <anchor moveWithCells="1">
                  <from>
                    <xdr:col>4</xdr:col>
                    <xdr:colOff>0</xdr:colOff>
                    <xdr:row>321</xdr:row>
                    <xdr:rowOff>142875</xdr:rowOff>
                  </from>
                  <to>
                    <xdr:col>5</xdr:col>
                    <xdr:colOff>95250</xdr:colOff>
                    <xdr:row>323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9" name="Check Box 329">
              <controlPr defaultSize="0" autoFill="0" autoLine="0" autoPict="0">
                <anchor moveWithCells="1">
                  <from>
                    <xdr:col>4</xdr:col>
                    <xdr:colOff>0</xdr:colOff>
                    <xdr:row>322</xdr:row>
                    <xdr:rowOff>142875</xdr:rowOff>
                  </from>
                  <to>
                    <xdr:col>5</xdr:col>
                    <xdr:colOff>95250</xdr:colOff>
                    <xdr:row>324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0" name="Check Box 330">
              <controlPr defaultSize="0" autoFill="0" autoLine="0" autoPict="0">
                <anchor moveWithCells="1">
                  <from>
                    <xdr:col>4</xdr:col>
                    <xdr:colOff>0</xdr:colOff>
                    <xdr:row>323</xdr:row>
                    <xdr:rowOff>142875</xdr:rowOff>
                  </from>
                  <to>
                    <xdr:col>5</xdr:col>
                    <xdr:colOff>95250</xdr:colOff>
                    <xdr:row>325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1" name="Check Box 331">
              <controlPr defaultSize="0" autoFill="0" autoLine="0" autoPict="0">
                <anchor moveWithCells="1">
                  <from>
                    <xdr:col>4</xdr:col>
                    <xdr:colOff>0</xdr:colOff>
                    <xdr:row>324</xdr:row>
                    <xdr:rowOff>142875</xdr:rowOff>
                  </from>
                  <to>
                    <xdr:col>5</xdr:col>
                    <xdr:colOff>95250</xdr:colOff>
                    <xdr:row>326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2" name="Check Box 332">
              <controlPr defaultSize="0" autoFill="0" autoLine="0" autoPict="0">
                <anchor moveWithCells="1">
                  <from>
                    <xdr:col>4</xdr:col>
                    <xdr:colOff>0</xdr:colOff>
                    <xdr:row>325</xdr:row>
                    <xdr:rowOff>142875</xdr:rowOff>
                  </from>
                  <to>
                    <xdr:col>5</xdr:col>
                    <xdr:colOff>95250</xdr:colOff>
                    <xdr:row>327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3" name="Check Box 333">
              <controlPr defaultSize="0" autoFill="0" autoLine="0" autoPict="0">
                <anchor moveWithCells="1">
                  <from>
                    <xdr:col>4</xdr:col>
                    <xdr:colOff>0</xdr:colOff>
                    <xdr:row>326</xdr:row>
                    <xdr:rowOff>142875</xdr:rowOff>
                  </from>
                  <to>
                    <xdr:col>5</xdr:col>
                    <xdr:colOff>95250</xdr:colOff>
                    <xdr:row>328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4" name="Check Box 334">
              <controlPr defaultSize="0" autoFill="0" autoLine="0" autoPict="0">
                <anchor moveWithCells="1">
                  <from>
                    <xdr:col>4</xdr:col>
                    <xdr:colOff>0</xdr:colOff>
                    <xdr:row>327</xdr:row>
                    <xdr:rowOff>142875</xdr:rowOff>
                  </from>
                  <to>
                    <xdr:col>5</xdr:col>
                    <xdr:colOff>95250</xdr:colOff>
                    <xdr:row>329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5" name="Check Box 335">
              <controlPr defaultSize="0" autoFill="0" autoLine="0" autoPict="0">
                <anchor moveWithCells="1">
                  <from>
                    <xdr:col>4</xdr:col>
                    <xdr:colOff>0</xdr:colOff>
                    <xdr:row>328</xdr:row>
                    <xdr:rowOff>142875</xdr:rowOff>
                  </from>
                  <to>
                    <xdr:col>5</xdr:col>
                    <xdr:colOff>95250</xdr:colOff>
                    <xdr:row>330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6" name="Check Box 336">
              <controlPr defaultSize="0" autoFill="0" autoLine="0" autoPict="0">
                <anchor moveWithCells="1">
                  <from>
                    <xdr:col>4</xdr:col>
                    <xdr:colOff>0</xdr:colOff>
                    <xdr:row>329</xdr:row>
                    <xdr:rowOff>142875</xdr:rowOff>
                  </from>
                  <to>
                    <xdr:col>5</xdr:col>
                    <xdr:colOff>95250</xdr:colOff>
                    <xdr:row>331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7" name="Check Box 337">
              <controlPr defaultSize="0" autoFill="0" autoLine="0" autoPict="0">
                <anchor moveWithCells="1">
                  <from>
                    <xdr:col>4</xdr:col>
                    <xdr:colOff>0</xdr:colOff>
                    <xdr:row>330</xdr:row>
                    <xdr:rowOff>142875</xdr:rowOff>
                  </from>
                  <to>
                    <xdr:col>5</xdr:col>
                    <xdr:colOff>95250</xdr:colOff>
                    <xdr:row>332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8" name="Check Box 338">
              <controlPr defaultSize="0" autoFill="0" autoLine="0" autoPict="0">
                <anchor moveWithCells="1">
                  <from>
                    <xdr:col>4</xdr:col>
                    <xdr:colOff>0</xdr:colOff>
                    <xdr:row>331</xdr:row>
                    <xdr:rowOff>142875</xdr:rowOff>
                  </from>
                  <to>
                    <xdr:col>5</xdr:col>
                    <xdr:colOff>95250</xdr:colOff>
                    <xdr:row>333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9" name="Check Box 339">
              <controlPr defaultSize="0" autoFill="0" autoLine="0" autoPict="0">
                <anchor moveWithCells="1">
                  <from>
                    <xdr:col>4</xdr:col>
                    <xdr:colOff>0</xdr:colOff>
                    <xdr:row>332</xdr:row>
                    <xdr:rowOff>142875</xdr:rowOff>
                  </from>
                  <to>
                    <xdr:col>5</xdr:col>
                    <xdr:colOff>95250</xdr:colOff>
                    <xdr:row>334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0" name="Check Box 340">
              <controlPr defaultSize="0" autoFill="0" autoLine="0" autoPict="0">
                <anchor moveWithCells="1">
                  <from>
                    <xdr:col>4</xdr:col>
                    <xdr:colOff>0</xdr:colOff>
                    <xdr:row>333</xdr:row>
                    <xdr:rowOff>142875</xdr:rowOff>
                  </from>
                  <to>
                    <xdr:col>5</xdr:col>
                    <xdr:colOff>95250</xdr:colOff>
                    <xdr:row>335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1" name="Check Box 341">
              <controlPr defaultSize="0" autoFill="0" autoLine="0" autoPict="0">
                <anchor moveWithCells="1">
                  <from>
                    <xdr:col>4</xdr:col>
                    <xdr:colOff>0</xdr:colOff>
                    <xdr:row>334</xdr:row>
                    <xdr:rowOff>142875</xdr:rowOff>
                  </from>
                  <to>
                    <xdr:col>5</xdr:col>
                    <xdr:colOff>95250</xdr:colOff>
                    <xdr:row>336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2" name="Check Box 342">
              <controlPr defaultSize="0" autoFill="0" autoLine="0" autoPict="0">
                <anchor moveWithCells="1">
                  <from>
                    <xdr:col>4</xdr:col>
                    <xdr:colOff>0</xdr:colOff>
                    <xdr:row>335</xdr:row>
                    <xdr:rowOff>142875</xdr:rowOff>
                  </from>
                  <to>
                    <xdr:col>5</xdr:col>
                    <xdr:colOff>95250</xdr:colOff>
                    <xdr:row>337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3" name="Check Box 343">
              <controlPr defaultSize="0" autoFill="0" autoLine="0" autoPict="0">
                <anchor moveWithCells="1">
                  <from>
                    <xdr:col>4</xdr:col>
                    <xdr:colOff>0</xdr:colOff>
                    <xdr:row>336</xdr:row>
                    <xdr:rowOff>142875</xdr:rowOff>
                  </from>
                  <to>
                    <xdr:col>5</xdr:col>
                    <xdr:colOff>95250</xdr:colOff>
                    <xdr:row>338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4" name="Check Box 344">
              <controlPr defaultSize="0" autoFill="0" autoLine="0" autoPict="0">
                <anchor moveWithCells="1">
                  <from>
                    <xdr:col>4</xdr:col>
                    <xdr:colOff>0</xdr:colOff>
                    <xdr:row>337</xdr:row>
                    <xdr:rowOff>142875</xdr:rowOff>
                  </from>
                  <to>
                    <xdr:col>5</xdr:col>
                    <xdr:colOff>95250</xdr:colOff>
                    <xdr:row>339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5" name="Check Box 345">
              <controlPr defaultSize="0" autoFill="0" autoLine="0" autoPict="0">
                <anchor moveWithCells="1">
                  <from>
                    <xdr:col>4</xdr:col>
                    <xdr:colOff>0</xdr:colOff>
                    <xdr:row>338</xdr:row>
                    <xdr:rowOff>142875</xdr:rowOff>
                  </from>
                  <to>
                    <xdr:col>5</xdr:col>
                    <xdr:colOff>95250</xdr:colOff>
                    <xdr:row>340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6" name="Check Box 346">
              <controlPr defaultSize="0" autoFill="0" autoLine="0" autoPict="0">
                <anchor moveWithCells="1">
                  <from>
                    <xdr:col>4</xdr:col>
                    <xdr:colOff>0</xdr:colOff>
                    <xdr:row>339</xdr:row>
                    <xdr:rowOff>142875</xdr:rowOff>
                  </from>
                  <to>
                    <xdr:col>5</xdr:col>
                    <xdr:colOff>95250</xdr:colOff>
                    <xdr:row>341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7" name="Check Box 347">
              <controlPr defaultSize="0" autoFill="0" autoLine="0" autoPict="0">
                <anchor moveWithCells="1">
                  <from>
                    <xdr:col>4</xdr:col>
                    <xdr:colOff>0</xdr:colOff>
                    <xdr:row>340</xdr:row>
                    <xdr:rowOff>142875</xdr:rowOff>
                  </from>
                  <to>
                    <xdr:col>5</xdr:col>
                    <xdr:colOff>95250</xdr:colOff>
                    <xdr:row>342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8" name="Check Box 348">
              <controlPr defaultSize="0" autoFill="0" autoLine="0" autoPict="0">
                <anchor moveWithCells="1">
                  <from>
                    <xdr:col>4</xdr:col>
                    <xdr:colOff>0</xdr:colOff>
                    <xdr:row>341</xdr:row>
                    <xdr:rowOff>142875</xdr:rowOff>
                  </from>
                  <to>
                    <xdr:col>5</xdr:col>
                    <xdr:colOff>95250</xdr:colOff>
                    <xdr:row>343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9" name="Check Box 349">
              <controlPr defaultSize="0" autoFill="0" autoLine="0" autoPict="0">
                <anchor moveWithCells="1">
                  <from>
                    <xdr:col>4</xdr:col>
                    <xdr:colOff>0</xdr:colOff>
                    <xdr:row>342</xdr:row>
                    <xdr:rowOff>142875</xdr:rowOff>
                  </from>
                  <to>
                    <xdr:col>5</xdr:col>
                    <xdr:colOff>95250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0" name="Check Box 350">
              <controlPr defaultSize="0" autoFill="0" autoLine="0" autoPict="0">
                <anchor moveWithCells="1">
                  <from>
                    <xdr:col>4</xdr:col>
                    <xdr:colOff>0</xdr:colOff>
                    <xdr:row>343</xdr:row>
                    <xdr:rowOff>142875</xdr:rowOff>
                  </from>
                  <to>
                    <xdr:col>5</xdr:col>
                    <xdr:colOff>95250</xdr:colOff>
                    <xdr:row>345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1" name="Check Box 351">
              <controlPr defaultSize="0" autoFill="0" autoLine="0" autoPict="0">
                <anchor moveWithCells="1">
                  <from>
                    <xdr:col>4</xdr:col>
                    <xdr:colOff>0</xdr:colOff>
                    <xdr:row>344</xdr:row>
                    <xdr:rowOff>142875</xdr:rowOff>
                  </from>
                  <to>
                    <xdr:col>5</xdr:col>
                    <xdr:colOff>95250</xdr:colOff>
                    <xdr:row>346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2" name="Check Box 352">
              <controlPr defaultSize="0" autoFill="0" autoLine="0" autoPict="0">
                <anchor moveWithCells="1">
                  <from>
                    <xdr:col>4</xdr:col>
                    <xdr:colOff>0</xdr:colOff>
                    <xdr:row>345</xdr:row>
                    <xdr:rowOff>142875</xdr:rowOff>
                  </from>
                  <to>
                    <xdr:col>5</xdr:col>
                    <xdr:colOff>95250</xdr:colOff>
                    <xdr:row>347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3" name="Check Box 353">
              <controlPr defaultSize="0" autoFill="0" autoLine="0" autoPict="0">
                <anchor moveWithCells="1">
                  <from>
                    <xdr:col>4</xdr:col>
                    <xdr:colOff>0</xdr:colOff>
                    <xdr:row>346</xdr:row>
                    <xdr:rowOff>142875</xdr:rowOff>
                  </from>
                  <to>
                    <xdr:col>5</xdr:col>
                    <xdr:colOff>95250</xdr:colOff>
                    <xdr:row>348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4" name="Check Box 354">
              <controlPr defaultSize="0" autoFill="0" autoLine="0" autoPict="0">
                <anchor moveWithCells="1">
                  <from>
                    <xdr:col>4</xdr:col>
                    <xdr:colOff>0</xdr:colOff>
                    <xdr:row>347</xdr:row>
                    <xdr:rowOff>142875</xdr:rowOff>
                  </from>
                  <to>
                    <xdr:col>5</xdr:col>
                    <xdr:colOff>95250</xdr:colOff>
                    <xdr:row>349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5" name="Check Box 355">
              <controlPr defaultSize="0" autoFill="0" autoLine="0" autoPict="0">
                <anchor moveWithCells="1">
                  <from>
                    <xdr:col>4</xdr:col>
                    <xdr:colOff>0</xdr:colOff>
                    <xdr:row>348</xdr:row>
                    <xdr:rowOff>142875</xdr:rowOff>
                  </from>
                  <to>
                    <xdr:col>5</xdr:col>
                    <xdr:colOff>95250</xdr:colOff>
                    <xdr:row>350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6" name="Check Box 356">
              <controlPr defaultSize="0" autoFill="0" autoLine="0" autoPict="0">
                <anchor moveWithCells="1">
                  <from>
                    <xdr:col>4</xdr:col>
                    <xdr:colOff>0</xdr:colOff>
                    <xdr:row>349</xdr:row>
                    <xdr:rowOff>142875</xdr:rowOff>
                  </from>
                  <to>
                    <xdr:col>5</xdr:col>
                    <xdr:colOff>95250</xdr:colOff>
                    <xdr:row>351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7" name="Check Box 357">
              <controlPr defaultSize="0" autoFill="0" autoLine="0" autoPict="0">
                <anchor moveWithCells="1">
                  <from>
                    <xdr:col>4</xdr:col>
                    <xdr:colOff>0</xdr:colOff>
                    <xdr:row>350</xdr:row>
                    <xdr:rowOff>142875</xdr:rowOff>
                  </from>
                  <to>
                    <xdr:col>5</xdr:col>
                    <xdr:colOff>95250</xdr:colOff>
                    <xdr:row>352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8" name="Check Box 358">
              <controlPr defaultSize="0" autoFill="0" autoLine="0" autoPict="0">
                <anchor moveWithCells="1">
                  <from>
                    <xdr:col>4</xdr:col>
                    <xdr:colOff>0</xdr:colOff>
                    <xdr:row>351</xdr:row>
                    <xdr:rowOff>142875</xdr:rowOff>
                  </from>
                  <to>
                    <xdr:col>5</xdr:col>
                    <xdr:colOff>95250</xdr:colOff>
                    <xdr:row>353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9" name="Check Box 359">
              <controlPr defaultSize="0" autoFill="0" autoLine="0" autoPict="0">
                <anchor moveWithCells="1">
                  <from>
                    <xdr:col>4</xdr:col>
                    <xdr:colOff>0</xdr:colOff>
                    <xdr:row>352</xdr:row>
                    <xdr:rowOff>142875</xdr:rowOff>
                  </from>
                  <to>
                    <xdr:col>5</xdr:col>
                    <xdr:colOff>95250</xdr:colOff>
                    <xdr:row>354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0" name="Check Box 360">
              <controlPr defaultSize="0" autoFill="0" autoLine="0" autoPict="0">
                <anchor moveWithCells="1">
                  <from>
                    <xdr:col>4</xdr:col>
                    <xdr:colOff>0</xdr:colOff>
                    <xdr:row>353</xdr:row>
                    <xdr:rowOff>142875</xdr:rowOff>
                  </from>
                  <to>
                    <xdr:col>5</xdr:col>
                    <xdr:colOff>95250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1" name="Check Box 361">
              <controlPr defaultSize="0" autoFill="0" autoLine="0" autoPict="0">
                <anchor moveWithCells="1">
                  <from>
                    <xdr:col>4</xdr:col>
                    <xdr:colOff>0</xdr:colOff>
                    <xdr:row>354</xdr:row>
                    <xdr:rowOff>142875</xdr:rowOff>
                  </from>
                  <to>
                    <xdr:col>5</xdr:col>
                    <xdr:colOff>95250</xdr:colOff>
                    <xdr:row>356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2" name="Check Box 362">
              <controlPr defaultSize="0" autoFill="0" autoLine="0" autoPict="0">
                <anchor moveWithCells="1">
                  <from>
                    <xdr:col>4</xdr:col>
                    <xdr:colOff>0</xdr:colOff>
                    <xdr:row>355</xdr:row>
                    <xdr:rowOff>142875</xdr:rowOff>
                  </from>
                  <to>
                    <xdr:col>5</xdr:col>
                    <xdr:colOff>95250</xdr:colOff>
                    <xdr:row>357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3" name="Check Box 363">
              <controlPr defaultSize="0" autoFill="0" autoLine="0" autoPict="0">
                <anchor moveWithCells="1">
                  <from>
                    <xdr:col>4</xdr:col>
                    <xdr:colOff>0</xdr:colOff>
                    <xdr:row>356</xdr:row>
                    <xdr:rowOff>142875</xdr:rowOff>
                  </from>
                  <to>
                    <xdr:col>5</xdr:col>
                    <xdr:colOff>95250</xdr:colOff>
                    <xdr:row>358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4" name="Check Box 364">
              <controlPr defaultSize="0" autoFill="0" autoLine="0" autoPict="0">
                <anchor moveWithCells="1">
                  <from>
                    <xdr:col>4</xdr:col>
                    <xdr:colOff>0</xdr:colOff>
                    <xdr:row>357</xdr:row>
                    <xdr:rowOff>142875</xdr:rowOff>
                  </from>
                  <to>
                    <xdr:col>5</xdr:col>
                    <xdr:colOff>95250</xdr:colOff>
                    <xdr:row>359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5" name="Check Box 365">
              <controlPr defaultSize="0" autoFill="0" autoLine="0" autoPict="0">
                <anchor moveWithCells="1">
                  <from>
                    <xdr:col>4</xdr:col>
                    <xdr:colOff>0</xdr:colOff>
                    <xdr:row>358</xdr:row>
                    <xdr:rowOff>142875</xdr:rowOff>
                  </from>
                  <to>
                    <xdr:col>5</xdr:col>
                    <xdr:colOff>95250</xdr:colOff>
                    <xdr:row>360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6" name="Check Box 366">
              <controlPr defaultSize="0" autoFill="0" autoLine="0" autoPict="0">
                <anchor moveWithCells="1">
                  <from>
                    <xdr:col>4</xdr:col>
                    <xdr:colOff>0</xdr:colOff>
                    <xdr:row>359</xdr:row>
                    <xdr:rowOff>142875</xdr:rowOff>
                  </from>
                  <to>
                    <xdr:col>5</xdr:col>
                    <xdr:colOff>95250</xdr:colOff>
                    <xdr:row>361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7" name="Check Box 367">
              <controlPr defaultSize="0" autoFill="0" autoLine="0" autoPict="0">
                <anchor moveWithCells="1">
                  <from>
                    <xdr:col>4</xdr:col>
                    <xdr:colOff>0</xdr:colOff>
                    <xdr:row>360</xdr:row>
                    <xdr:rowOff>142875</xdr:rowOff>
                  </from>
                  <to>
                    <xdr:col>5</xdr:col>
                    <xdr:colOff>95250</xdr:colOff>
                    <xdr:row>362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8" name="Check Box 368">
              <controlPr defaultSize="0" autoFill="0" autoLine="0" autoPict="0">
                <anchor moveWithCells="1">
                  <from>
                    <xdr:col>4</xdr:col>
                    <xdr:colOff>0</xdr:colOff>
                    <xdr:row>361</xdr:row>
                    <xdr:rowOff>142875</xdr:rowOff>
                  </from>
                  <to>
                    <xdr:col>5</xdr:col>
                    <xdr:colOff>95250</xdr:colOff>
                    <xdr:row>363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9" name="Check Box 369">
              <controlPr defaultSize="0" autoFill="0" autoLine="0" autoPict="0">
                <anchor moveWithCells="1">
                  <from>
                    <xdr:col>4</xdr:col>
                    <xdr:colOff>0</xdr:colOff>
                    <xdr:row>362</xdr:row>
                    <xdr:rowOff>142875</xdr:rowOff>
                  </from>
                  <to>
                    <xdr:col>5</xdr:col>
                    <xdr:colOff>95250</xdr:colOff>
                    <xdr:row>364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0" name="Check Box 370">
              <controlPr defaultSize="0" autoFill="0" autoLine="0" autoPict="0">
                <anchor moveWithCells="1">
                  <from>
                    <xdr:col>4</xdr:col>
                    <xdr:colOff>0</xdr:colOff>
                    <xdr:row>363</xdr:row>
                    <xdr:rowOff>142875</xdr:rowOff>
                  </from>
                  <to>
                    <xdr:col>5</xdr:col>
                    <xdr:colOff>95250</xdr:colOff>
                    <xdr:row>365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1" name="Check Box 371">
              <controlPr defaultSize="0" autoFill="0" autoLine="0" autoPict="0">
                <anchor moveWithCells="1">
                  <from>
                    <xdr:col>4</xdr:col>
                    <xdr:colOff>0</xdr:colOff>
                    <xdr:row>364</xdr:row>
                    <xdr:rowOff>142875</xdr:rowOff>
                  </from>
                  <to>
                    <xdr:col>5</xdr:col>
                    <xdr:colOff>95250</xdr:colOff>
                    <xdr:row>366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2" name="Check Box 372">
              <controlPr defaultSize="0" autoFill="0" autoLine="0" autoPict="0">
                <anchor moveWithCells="1">
                  <from>
                    <xdr:col>4</xdr:col>
                    <xdr:colOff>0</xdr:colOff>
                    <xdr:row>365</xdr:row>
                    <xdr:rowOff>142875</xdr:rowOff>
                  </from>
                  <to>
                    <xdr:col>5</xdr:col>
                    <xdr:colOff>95250</xdr:colOff>
                    <xdr:row>367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3" name="Check Box 373">
              <controlPr defaultSize="0" autoFill="0" autoLine="0" autoPict="0">
                <anchor moveWithCells="1">
                  <from>
                    <xdr:col>4</xdr:col>
                    <xdr:colOff>0</xdr:colOff>
                    <xdr:row>366</xdr:row>
                    <xdr:rowOff>142875</xdr:rowOff>
                  </from>
                  <to>
                    <xdr:col>5</xdr:col>
                    <xdr:colOff>95250</xdr:colOff>
                    <xdr:row>368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4" name="Check Box 374">
              <controlPr defaultSize="0" autoFill="0" autoLine="0" autoPict="0">
                <anchor moveWithCells="1">
                  <from>
                    <xdr:col>4</xdr:col>
                    <xdr:colOff>0</xdr:colOff>
                    <xdr:row>367</xdr:row>
                    <xdr:rowOff>142875</xdr:rowOff>
                  </from>
                  <to>
                    <xdr:col>5</xdr:col>
                    <xdr:colOff>95250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5" name="Check Box 375">
              <controlPr defaultSize="0" autoFill="0" autoLine="0" autoPict="0">
                <anchor moveWithCells="1">
                  <from>
                    <xdr:col>4</xdr:col>
                    <xdr:colOff>0</xdr:colOff>
                    <xdr:row>368</xdr:row>
                    <xdr:rowOff>142875</xdr:rowOff>
                  </from>
                  <to>
                    <xdr:col>5</xdr:col>
                    <xdr:colOff>95250</xdr:colOff>
                    <xdr:row>370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6" name="Check Box 376">
              <controlPr defaultSize="0" autoFill="0" autoLine="0" autoPict="0">
                <anchor moveWithCells="1">
                  <from>
                    <xdr:col>4</xdr:col>
                    <xdr:colOff>0</xdr:colOff>
                    <xdr:row>369</xdr:row>
                    <xdr:rowOff>142875</xdr:rowOff>
                  </from>
                  <to>
                    <xdr:col>5</xdr:col>
                    <xdr:colOff>95250</xdr:colOff>
                    <xdr:row>371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7" name="Check Box 377">
              <controlPr defaultSize="0" autoFill="0" autoLine="0" autoPict="0">
                <anchor moveWithCells="1">
                  <from>
                    <xdr:col>4</xdr:col>
                    <xdr:colOff>0</xdr:colOff>
                    <xdr:row>370</xdr:row>
                    <xdr:rowOff>142875</xdr:rowOff>
                  </from>
                  <to>
                    <xdr:col>5</xdr:col>
                    <xdr:colOff>95250</xdr:colOff>
                    <xdr:row>372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8" name="Check Box 378">
              <controlPr defaultSize="0" autoFill="0" autoLine="0" autoPict="0">
                <anchor moveWithCells="1">
                  <from>
                    <xdr:col>4</xdr:col>
                    <xdr:colOff>0</xdr:colOff>
                    <xdr:row>371</xdr:row>
                    <xdr:rowOff>142875</xdr:rowOff>
                  </from>
                  <to>
                    <xdr:col>5</xdr:col>
                    <xdr:colOff>95250</xdr:colOff>
                    <xdr:row>373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9" name="Check Box 379">
              <controlPr defaultSize="0" autoFill="0" autoLine="0" autoPict="0">
                <anchor moveWithCells="1">
                  <from>
                    <xdr:col>4</xdr:col>
                    <xdr:colOff>0</xdr:colOff>
                    <xdr:row>372</xdr:row>
                    <xdr:rowOff>142875</xdr:rowOff>
                  </from>
                  <to>
                    <xdr:col>5</xdr:col>
                    <xdr:colOff>95250</xdr:colOff>
                    <xdr:row>374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0" name="Check Box 380">
              <controlPr defaultSize="0" autoFill="0" autoLine="0" autoPict="0">
                <anchor moveWithCells="1">
                  <from>
                    <xdr:col>4</xdr:col>
                    <xdr:colOff>0</xdr:colOff>
                    <xdr:row>373</xdr:row>
                    <xdr:rowOff>142875</xdr:rowOff>
                  </from>
                  <to>
                    <xdr:col>5</xdr:col>
                    <xdr:colOff>95250</xdr:colOff>
                    <xdr:row>375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1" name="Check Box 381">
              <controlPr defaultSize="0" autoFill="0" autoLine="0" autoPict="0">
                <anchor moveWithCells="1">
                  <from>
                    <xdr:col>4</xdr:col>
                    <xdr:colOff>0</xdr:colOff>
                    <xdr:row>374</xdr:row>
                    <xdr:rowOff>142875</xdr:rowOff>
                  </from>
                  <to>
                    <xdr:col>5</xdr:col>
                    <xdr:colOff>95250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2" name="Check Box 382">
              <controlPr defaultSize="0" autoFill="0" autoLine="0" autoPict="0">
                <anchor moveWithCells="1">
                  <from>
                    <xdr:col>4</xdr:col>
                    <xdr:colOff>0</xdr:colOff>
                    <xdr:row>375</xdr:row>
                    <xdr:rowOff>142875</xdr:rowOff>
                  </from>
                  <to>
                    <xdr:col>5</xdr:col>
                    <xdr:colOff>95250</xdr:colOff>
                    <xdr:row>377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3" name="Check Box 383">
              <controlPr defaultSize="0" autoFill="0" autoLine="0" autoPict="0">
                <anchor moveWithCells="1">
                  <from>
                    <xdr:col>4</xdr:col>
                    <xdr:colOff>0</xdr:colOff>
                    <xdr:row>376</xdr:row>
                    <xdr:rowOff>142875</xdr:rowOff>
                  </from>
                  <to>
                    <xdr:col>5</xdr:col>
                    <xdr:colOff>95250</xdr:colOff>
                    <xdr:row>378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4" name="Check Box 384">
              <controlPr defaultSize="0" autoFill="0" autoLine="0" autoPict="0">
                <anchor moveWithCells="1">
                  <from>
                    <xdr:col>4</xdr:col>
                    <xdr:colOff>0</xdr:colOff>
                    <xdr:row>377</xdr:row>
                    <xdr:rowOff>142875</xdr:rowOff>
                  </from>
                  <to>
                    <xdr:col>5</xdr:col>
                    <xdr:colOff>95250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5" name="Check Box 385">
              <controlPr defaultSize="0" autoFill="0" autoLine="0" autoPict="0">
                <anchor moveWithCells="1">
                  <from>
                    <xdr:col>4</xdr:col>
                    <xdr:colOff>0</xdr:colOff>
                    <xdr:row>378</xdr:row>
                    <xdr:rowOff>142875</xdr:rowOff>
                  </from>
                  <to>
                    <xdr:col>5</xdr:col>
                    <xdr:colOff>95250</xdr:colOff>
                    <xdr:row>380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6" name="Check Box 386">
              <controlPr defaultSize="0" autoFill="0" autoLine="0" autoPict="0">
                <anchor moveWithCells="1">
                  <from>
                    <xdr:col>4</xdr:col>
                    <xdr:colOff>0</xdr:colOff>
                    <xdr:row>379</xdr:row>
                    <xdr:rowOff>142875</xdr:rowOff>
                  </from>
                  <to>
                    <xdr:col>5</xdr:col>
                    <xdr:colOff>95250</xdr:colOff>
                    <xdr:row>381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7" name="Check Box 387">
              <controlPr defaultSize="0" autoFill="0" autoLine="0" autoPict="0">
                <anchor moveWithCells="1">
                  <from>
                    <xdr:col>4</xdr:col>
                    <xdr:colOff>0</xdr:colOff>
                    <xdr:row>380</xdr:row>
                    <xdr:rowOff>142875</xdr:rowOff>
                  </from>
                  <to>
                    <xdr:col>5</xdr:col>
                    <xdr:colOff>95250</xdr:colOff>
                    <xdr:row>382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8" name="Check Box 388">
              <controlPr defaultSize="0" autoFill="0" autoLine="0" autoPict="0">
                <anchor moveWithCells="1">
                  <from>
                    <xdr:col>4</xdr:col>
                    <xdr:colOff>0</xdr:colOff>
                    <xdr:row>381</xdr:row>
                    <xdr:rowOff>142875</xdr:rowOff>
                  </from>
                  <to>
                    <xdr:col>5</xdr:col>
                    <xdr:colOff>95250</xdr:colOff>
                    <xdr:row>383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9" name="Check Box 389">
              <controlPr defaultSize="0" autoFill="0" autoLine="0" autoPict="0">
                <anchor moveWithCells="1">
                  <from>
                    <xdr:col>4</xdr:col>
                    <xdr:colOff>0</xdr:colOff>
                    <xdr:row>382</xdr:row>
                    <xdr:rowOff>142875</xdr:rowOff>
                  </from>
                  <to>
                    <xdr:col>5</xdr:col>
                    <xdr:colOff>95250</xdr:colOff>
                    <xdr:row>384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0" name="Check Box 390">
              <controlPr defaultSize="0" autoFill="0" autoLine="0" autoPict="0">
                <anchor moveWithCells="1">
                  <from>
                    <xdr:col>4</xdr:col>
                    <xdr:colOff>0</xdr:colOff>
                    <xdr:row>383</xdr:row>
                    <xdr:rowOff>142875</xdr:rowOff>
                  </from>
                  <to>
                    <xdr:col>5</xdr:col>
                    <xdr:colOff>95250</xdr:colOff>
                    <xdr:row>385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1" name="Check Box 391">
              <controlPr defaultSize="0" autoFill="0" autoLine="0" autoPict="0">
                <anchor moveWithCells="1">
                  <from>
                    <xdr:col>4</xdr:col>
                    <xdr:colOff>0</xdr:colOff>
                    <xdr:row>384</xdr:row>
                    <xdr:rowOff>142875</xdr:rowOff>
                  </from>
                  <to>
                    <xdr:col>5</xdr:col>
                    <xdr:colOff>95250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2" name="Check Box 392">
              <controlPr defaultSize="0" autoFill="0" autoLine="0" autoPict="0">
                <anchor moveWithCells="1">
                  <from>
                    <xdr:col>4</xdr:col>
                    <xdr:colOff>0</xdr:colOff>
                    <xdr:row>385</xdr:row>
                    <xdr:rowOff>142875</xdr:rowOff>
                  </from>
                  <to>
                    <xdr:col>5</xdr:col>
                    <xdr:colOff>95250</xdr:colOff>
                    <xdr:row>387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3" name="Check Box 393">
              <controlPr defaultSize="0" autoFill="0" autoLine="0" autoPict="0">
                <anchor moveWithCells="1">
                  <from>
                    <xdr:col>4</xdr:col>
                    <xdr:colOff>0</xdr:colOff>
                    <xdr:row>386</xdr:row>
                    <xdr:rowOff>142875</xdr:rowOff>
                  </from>
                  <to>
                    <xdr:col>5</xdr:col>
                    <xdr:colOff>95250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4" name="Check Box 394">
              <controlPr defaultSize="0" autoFill="0" autoLine="0" autoPict="0">
                <anchor moveWithCells="1">
                  <from>
                    <xdr:col>4</xdr:col>
                    <xdr:colOff>0</xdr:colOff>
                    <xdr:row>387</xdr:row>
                    <xdr:rowOff>142875</xdr:rowOff>
                  </from>
                  <to>
                    <xdr:col>5</xdr:col>
                    <xdr:colOff>95250</xdr:colOff>
                    <xdr:row>389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5" name="Check Box 395">
              <controlPr defaultSize="0" autoFill="0" autoLine="0" autoPict="0">
                <anchor moveWithCells="1">
                  <from>
                    <xdr:col>4</xdr:col>
                    <xdr:colOff>0</xdr:colOff>
                    <xdr:row>388</xdr:row>
                    <xdr:rowOff>142875</xdr:rowOff>
                  </from>
                  <to>
                    <xdr:col>5</xdr:col>
                    <xdr:colOff>95250</xdr:colOff>
                    <xdr:row>390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6" name="Check Box 396">
              <controlPr defaultSize="0" autoFill="0" autoLine="0" autoPict="0">
                <anchor moveWithCells="1">
                  <from>
                    <xdr:col>4</xdr:col>
                    <xdr:colOff>0</xdr:colOff>
                    <xdr:row>389</xdr:row>
                    <xdr:rowOff>142875</xdr:rowOff>
                  </from>
                  <to>
                    <xdr:col>5</xdr:col>
                    <xdr:colOff>95250</xdr:colOff>
                    <xdr:row>391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7" name="Check Box 397">
              <controlPr defaultSize="0" autoFill="0" autoLine="0" autoPict="0">
                <anchor moveWithCells="1">
                  <from>
                    <xdr:col>4</xdr:col>
                    <xdr:colOff>0</xdr:colOff>
                    <xdr:row>390</xdr:row>
                    <xdr:rowOff>142875</xdr:rowOff>
                  </from>
                  <to>
                    <xdr:col>5</xdr:col>
                    <xdr:colOff>95250</xdr:colOff>
                    <xdr:row>392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8" name="Check Box 398">
              <controlPr defaultSize="0" autoFill="0" autoLine="0" autoPict="0">
                <anchor moveWithCells="1">
                  <from>
                    <xdr:col>4</xdr:col>
                    <xdr:colOff>0</xdr:colOff>
                    <xdr:row>391</xdr:row>
                    <xdr:rowOff>142875</xdr:rowOff>
                  </from>
                  <to>
                    <xdr:col>5</xdr:col>
                    <xdr:colOff>95250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9" name="Check Box 399">
              <controlPr defaultSize="0" autoFill="0" autoLine="0" autoPict="0">
                <anchor moveWithCells="1">
                  <from>
                    <xdr:col>4</xdr:col>
                    <xdr:colOff>0</xdr:colOff>
                    <xdr:row>392</xdr:row>
                    <xdr:rowOff>142875</xdr:rowOff>
                  </from>
                  <to>
                    <xdr:col>5</xdr:col>
                    <xdr:colOff>95250</xdr:colOff>
                    <xdr:row>394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0" name="Check Box 400">
              <controlPr defaultSize="0" autoFill="0" autoLine="0" autoPict="0">
                <anchor moveWithCells="1">
                  <from>
                    <xdr:col>4</xdr:col>
                    <xdr:colOff>0</xdr:colOff>
                    <xdr:row>393</xdr:row>
                    <xdr:rowOff>142875</xdr:rowOff>
                  </from>
                  <to>
                    <xdr:col>5</xdr:col>
                    <xdr:colOff>95250</xdr:colOff>
                    <xdr:row>395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1" name="Check Box 401">
              <controlPr defaultSize="0" autoFill="0" autoLine="0" autoPict="0">
                <anchor moveWithCells="1">
                  <from>
                    <xdr:col>4</xdr:col>
                    <xdr:colOff>0</xdr:colOff>
                    <xdr:row>394</xdr:row>
                    <xdr:rowOff>142875</xdr:rowOff>
                  </from>
                  <to>
                    <xdr:col>5</xdr:col>
                    <xdr:colOff>95250</xdr:colOff>
                    <xdr:row>396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2" name="Check Box 402">
              <controlPr defaultSize="0" autoFill="0" autoLine="0" autoPict="0">
                <anchor moveWithCells="1">
                  <from>
                    <xdr:col>4</xdr:col>
                    <xdr:colOff>0</xdr:colOff>
                    <xdr:row>395</xdr:row>
                    <xdr:rowOff>142875</xdr:rowOff>
                  </from>
                  <to>
                    <xdr:col>5</xdr:col>
                    <xdr:colOff>95250</xdr:colOff>
                    <xdr:row>397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3" name="Check Box 403">
              <controlPr defaultSize="0" autoFill="0" autoLine="0" autoPict="0">
                <anchor moveWithCells="1">
                  <from>
                    <xdr:col>4</xdr:col>
                    <xdr:colOff>0</xdr:colOff>
                    <xdr:row>396</xdr:row>
                    <xdr:rowOff>142875</xdr:rowOff>
                  </from>
                  <to>
                    <xdr:col>5</xdr:col>
                    <xdr:colOff>95250</xdr:colOff>
                    <xdr:row>398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4" name="Check Box 404">
              <controlPr defaultSize="0" autoFill="0" autoLine="0" autoPict="0">
                <anchor moveWithCells="1">
                  <from>
                    <xdr:col>4</xdr:col>
                    <xdr:colOff>0</xdr:colOff>
                    <xdr:row>397</xdr:row>
                    <xdr:rowOff>142875</xdr:rowOff>
                  </from>
                  <to>
                    <xdr:col>5</xdr:col>
                    <xdr:colOff>95250</xdr:colOff>
                    <xdr:row>399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5" name="Check Box 405">
              <controlPr defaultSize="0" autoFill="0" autoLine="0" autoPict="0">
                <anchor moveWithCells="1">
                  <from>
                    <xdr:col>4</xdr:col>
                    <xdr:colOff>0</xdr:colOff>
                    <xdr:row>398</xdr:row>
                    <xdr:rowOff>142875</xdr:rowOff>
                  </from>
                  <to>
                    <xdr:col>5</xdr:col>
                    <xdr:colOff>95250</xdr:colOff>
                    <xdr:row>400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6" name="Check Box 406">
              <controlPr defaultSize="0" autoFill="0" autoLine="0" autoPict="0">
                <anchor moveWithCells="1">
                  <from>
                    <xdr:col>4</xdr:col>
                    <xdr:colOff>0</xdr:colOff>
                    <xdr:row>399</xdr:row>
                    <xdr:rowOff>142875</xdr:rowOff>
                  </from>
                  <to>
                    <xdr:col>5</xdr:col>
                    <xdr:colOff>95250</xdr:colOff>
                    <xdr:row>401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7" name="Check Box 407">
              <controlPr defaultSize="0" autoFill="0" autoLine="0" autoPict="0">
                <anchor moveWithCells="1">
                  <from>
                    <xdr:col>4</xdr:col>
                    <xdr:colOff>0</xdr:colOff>
                    <xdr:row>400</xdr:row>
                    <xdr:rowOff>142875</xdr:rowOff>
                  </from>
                  <to>
                    <xdr:col>5</xdr:col>
                    <xdr:colOff>95250</xdr:colOff>
                    <xdr:row>402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8" name="Check Box 408">
              <controlPr defaultSize="0" autoFill="0" autoLine="0" autoPict="0">
                <anchor moveWithCells="1">
                  <from>
                    <xdr:col>4</xdr:col>
                    <xdr:colOff>0</xdr:colOff>
                    <xdr:row>401</xdr:row>
                    <xdr:rowOff>142875</xdr:rowOff>
                  </from>
                  <to>
                    <xdr:col>5</xdr:col>
                    <xdr:colOff>95250</xdr:colOff>
                    <xdr:row>403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9" name="Check Box 409">
              <controlPr defaultSize="0" autoFill="0" autoLine="0" autoPict="0">
                <anchor moveWithCells="1">
                  <from>
                    <xdr:col>4</xdr:col>
                    <xdr:colOff>0</xdr:colOff>
                    <xdr:row>402</xdr:row>
                    <xdr:rowOff>142875</xdr:rowOff>
                  </from>
                  <to>
                    <xdr:col>5</xdr:col>
                    <xdr:colOff>95250</xdr:colOff>
                    <xdr:row>404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0" name="Check Box 410">
              <controlPr defaultSize="0" autoFill="0" autoLine="0" autoPict="0">
                <anchor moveWithCells="1">
                  <from>
                    <xdr:col>4</xdr:col>
                    <xdr:colOff>0</xdr:colOff>
                    <xdr:row>403</xdr:row>
                    <xdr:rowOff>142875</xdr:rowOff>
                  </from>
                  <to>
                    <xdr:col>5</xdr:col>
                    <xdr:colOff>95250</xdr:colOff>
                    <xdr:row>405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1" name="Check Box 411">
              <controlPr defaultSize="0" autoFill="0" autoLine="0" autoPict="0">
                <anchor moveWithCells="1">
                  <from>
                    <xdr:col>4</xdr:col>
                    <xdr:colOff>0</xdr:colOff>
                    <xdr:row>404</xdr:row>
                    <xdr:rowOff>142875</xdr:rowOff>
                  </from>
                  <to>
                    <xdr:col>5</xdr:col>
                    <xdr:colOff>95250</xdr:colOff>
                    <xdr:row>406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2" name="Check Box 412">
              <controlPr defaultSize="0" autoFill="0" autoLine="0" autoPict="0">
                <anchor moveWithCells="1">
                  <from>
                    <xdr:col>4</xdr:col>
                    <xdr:colOff>0</xdr:colOff>
                    <xdr:row>405</xdr:row>
                    <xdr:rowOff>142875</xdr:rowOff>
                  </from>
                  <to>
                    <xdr:col>5</xdr:col>
                    <xdr:colOff>95250</xdr:colOff>
                    <xdr:row>407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3" name="Check Box 413">
              <controlPr defaultSize="0" autoFill="0" autoLine="0" autoPict="0">
                <anchor moveWithCells="1">
                  <from>
                    <xdr:col>4</xdr:col>
                    <xdr:colOff>0</xdr:colOff>
                    <xdr:row>406</xdr:row>
                    <xdr:rowOff>142875</xdr:rowOff>
                  </from>
                  <to>
                    <xdr:col>5</xdr:col>
                    <xdr:colOff>95250</xdr:colOff>
                    <xdr:row>408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4" name="Check Box 414">
              <controlPr defaultSize="0" autoFill="0" autoLine="0" autoPict="0">
                <anchor moveWithCells="1">
                  <from>
                    <xdr:col>4</xdr:col>
                    <xdr:colOff>0</xdr:colOff>
                    <xdr:row>407</xdr:row>
                    <xdr:rowOff>142875</xdr:rowOff>
                  </from>
                  <to>
                    <xdr:col>5</xdr:col>
                    <xdr:colOff>95250</xdr:colOff>
                    <xdr:row>409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5" name="Check Box 415">
              <controlPr defaultSize="0" autoFill="0" autoLine="0" autoPict="0">
                <anchor moveWithCells="1">
                  <from>
                    <xdr:col>4</xdr:col>
                    <xdr:colOff>0</xdr:colOff>
                    <xdr:row>408</xdr:row>
                    <xdr:rowOff>142875</xdr:rowOff>
                  </from>
                  <to>
                    <xdr:col>5</xdr:col>
                    <xdr:colOff>95250</xdr:colOff>
                    <xdr:row>410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6" name="Check Box 416">
              <controlPr defaultSize="0" autoFill="0" autoLine="0" autoPict="0">
                <anchor moveWithCells="1">
                  <from>
                    <xdr:col>4</xdr:col>
                    <xdr:colOff>0</xdr:colOff>
                    <xdr:row>409</xdr:row>
                    <xdr:rowOff>142875</xdr:rowOff>
                  </from>
                  <to>
                    <xdr:col>5</xdr:col>
                    <xdr:colOff>95250</xdr:colOff>
                    <xdr:row>411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7" name="Check Box 417">
              <controlPr defaultSize="0" autoFill="0" autoLine="0" autoPict="0">
                <anchor moveWithCells="1">
                  <from>
                    <xdr:col>4</xdr:col>
                    <xdr:colOff>0</xdr:colOff>
                    <xdr:row>410</xdr:row>
                    <xdr:rowOff>142875</xdr:rowOff>
                  </from>
                  <to>
                    <xdr:col>5</xdr:col>
                    <xdr:colOff>95250</xdr:colOff>
                    <xdr:row>412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8" name="Check Box 418">
              <controlPr defaultSize="0" autoFill="0" autoLine="0" autoPict="0">
                <anchor moveWithCells="1">
                  <from>
                    <xdr:col>4</xdr:col>
                    <xdr:colOff>0</xdr:colOff>
                    <xdr:row>411</xdr:row>
                    <xdr:rowOff>142875</xdr:rowOff>
                  </from>
                  <to>
                    <xdr:col>5</xdr:col>
                    <xdr:colOff>95250</xdr:colOff>
                    <xdr:row>413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9" name="Check Box 419">
              <controlPr defaultSize="0" autoFill="0" autoLine="0" autoPict="0">
                <anchor moveWithCells="1">
                  <from>
                    <xdr:col>4</xdr:col>
                    <xdr:colOff>0</xdr:colOff>
                    <xdr:row>412</xdr:row>
                    <xdr:rowOff>142875</xdr:rowOff>
                  </from>
                  <to>
                    <xdr:col>5</xdr:col>
                    <xdr:colOff>95250</xdr:colOff>
                    <xdr:row>414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0" name="Check Box 420">
              <controlPr defaultSize="0" autoFill="0" autoLine="0" autoPict="0">
                <anchor moveWithCells="1">
                  <from>
                    <xdr:col>4</xdr:col>
                    <xdr:colOff>0</xdr:colOff>
                    <xdr:row>413</xdr:row>
                    <xdr:rowOff>142875</xdr:rowOff>
                  </from>
                  <to>
                    <xdr:col>5</xdr:col>
                    <xdr:colOff>95250</xdr:colOff>
                    <xdr:row>415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1" name="Check Box 421">
              <controlPr defaultSize="0" autoFill="0" autoLine="0" autoPict="0">
                <anchor moveWithCells="1">
                  <from>
                    <xdr:col>4</xdr:col>
                    <xdr:colOff>0</xdr:colOff>
                    <xdr:row>414</xdr:row>
                    <xdr:rowOff>142875</xdr:rowOff>
                  </from>
                  <to>
                    <xdr:col>5</xdr:col>
                    <xdr:colOff>95250</xdr:colOff>
                    <xdr:row>416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2" name="Check Box 422">
              <controlPr defaultSize="0" autoFill="0" autoLine="0" autoPict="0">
                <anchor moveWithCells="1">
                  <from>
                    <xdr:col>4</xdr:col>
                    <xdr:colOff>0</xdr:colOff>
                    <xdr:row>415</xdr:row>
                    <xdr:rowOff>142875</xdr:rowOff>
                  </from>
                  <to>
                    <xdr:col>5</xdr:col>
                    <xdr:colOff>95250</xdr:colOff>
                    <xdr:row>417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3" name="Check Box 423">
              <controlPr defaultSize="0" autoFill="0" autoLine="0" autoPict="0">
                <anchor moveWithCells="1">
                  <from>
                    <xdr:col>4</xdr:col>
                    <xdr:colOff>0</xdr:colOff>
                    <xdr:row>416</xdr:row>
                    <xdr:rowOff>142875</xdr:rowOff>
                  </from>
                  <to>
                    <xdr:col>5</xdr:col>
                    <xdr:colOff>95250</xdr:colOff>
                    <xdr:row>418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4" name="Check Box 424">
              <controlPr defaultSize="0" autoFill="0" autoLine="0" autoPict="0">
                <anchor moveWithCells="1">
                  <from>
                    <xdr:col>4</xdr:col>
                    <xdr:colOff>0</xdr:colOff>
                    <xdr:row>417</xdr:row>
                    <xdr:rowOff>142875</xdr:rowOff>
                  </from>
                  <to>
                    <xdr:col>5</xdr:col>
                    <xdr:colOff>95250</xdr:colOff>
                    <xdr:row>419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5" name="Check Box 425">
              <controlPr defaultSize="0" autoFill="0" autoLine="0" autoPict="0">
                <anchor moveWithCells="1">
                  <from>
                    <xdr:col>4</xdr:col>
                    <xdr:colOff>0</xdr:colOff>
                    <xdr:row>418</xdr:row>
                    <xdr:rowOff>142875</xdr:rowOff>
                  </from>
                  <to>
                    <xdr:col>5</xdr:col>
                    <xdr:colOff>95250</xdr:colOff>
                    <xdr:row>420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6" name="Check Box 426">
              <controlPr defaultSize="0" autoFill="0" autoLine="0" autoPict="0">
                <anchor moveWithCells="1">
                  <from>
                    <xdr:col>4</xdr:col>
                    <xdr:colOff>0</xdr:colOff>
                    <xdr:row>419</xdr:row>
                    <xdr:rowOff>142875</xdr:rowOff>
                  </from>
                  <to>
                    <xdr:col>5</xdr:col>
                    <xdr:colOff>95250</xdr:colOff>
                    <xdr:row>421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7" name="Check Box 427">
              <controlPr defaultSize="0" autoFill="0" autoLine="0" autoPict="0">
                <anchor moveWithCells="1">
                  <from>
                    <xdr:col>4</xdr:col>
                    <xdr:colOff>0</xdr:colOff>
                    <xdr:row>420</xdr:row>
                    <xdr:rowOff>142875</xdr:rowOff>
                  </from>
                  <to>
                    <xdr:col>5</xdr:col>
                    <xdr:colOff>95250</xdr:colOff>
                    <xdr:row>422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8" name="Check Box 428">
              <controlPr defaultSize="0" autoFill="0" autoLine="0" autoPict="0">
                <anchor moveWithCells="1">
                  <from>
                    <xdr:col>4</xdr:col>
                    <xdr:colOff>0</xdr:colOff>
                    <xdr:row>421</xdr:row>
                    <xdr:rowOff>142875</xdr:rowOff>
                  </from>
                  <to>
                    <xdr:col>5</xdr:col>
                    <xdr:colOff>95250</xdr:colOff>
                    <xdr:row>423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9" name="Check Box 429">
              <controlPr defaultSize="0" autoFill="0" autoLine="0" autoPict="0">
                <anchor moveWithCells="1">
                  <from>
                    <xdr:col>4</xdr:col>
                    <xdr:colOff>0</xdr:colOff>
                    <xdr:row>422</xdr:row>
                    <xdr:rowOff>142875</xdr:rowOff>
                  </from>
                  <to>
                    <xdr:col>5</xdr:col>
                    <xdr:colOff>95250</xdr:colOff>
                    <xdr:row>424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0" name="Check Box 430">
              <controlPr defaultSize="0" autoFill="0" autoLine="0" autoPict="0">
                <anchor moveWithCells="1">
                  <from>
                    <xdr:col>4</xdr:col>
                    <xdr:colOff>0</xdr:colOff>
                    <xdr:row>423</xdr:row>
                    <xdr:rowOff>142875</xdr:rowOff>
                  </from>
                  <to>
                    <xdr:col>5</xdr:col>
                    <xdr:colOff>95250</xdr:colOff>
                    <xdr:row>425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1" name="Check Box 431">
              <controlPr defaultSize="0" autoFill="0" autoLine="0" autoPict="0">
                <anchor moveWithCells="1">
                  <from>
                    <xdr:col>4</xdr:col>
                    <xdr:colOff>0</xdr:colOff>
                    <xdr:row>424</xdr:row>
                    <xdr:rowOff>142875</xdr:rowOff>
                  </from>
                  <to>
                    <xdr:col>5</xdr:col>
                    <xdr:colOff>95250</xdr:colOff>
                    <xdr:row>426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2" name="Check Box 432">
              <controlPr defaultSize="0" autoFill="0" autoLine="0" autoPict="0">
                <anchor moveWithCells="1">
                  <from>
                    <xdr:col>4</xdr:col>
                    <xdr:colOff>0</xdr:colOff>
                    <xdr:row>425</xdr:row>
                    <xdr:rowOff>142875</xdr:rowOff>
                  </from>
                  <to>
                    <xdr:col>5</xdr:col>
                    <xdr:colOff>95250</xdr:colOff>
                    <xdr:row>427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3" name="Check Box 433">
              <controlPr defaultSize="0" autoFill="0" autoLine="0" autoPict="0">
                <anchor moveWithCells="1">
                  <from>
                    <xdr:col>4</xdr:col>
                    <xdr:colOff>0</xdr:colOff>
                    <xdr:row>426</xdr:row>
                    <xdr:rowOff>142875</xdr:rowOff>
                  </from>
                  <to>
                    <xdr:col>5</xdr:col>
                    <xdr:colOff>95250</xdr:colOff>
                    <xdr:row>428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4" name="Check Box 434">
              <controlPr defaultSize="0" autoFill="0" autoLine="0" autoPict="0">
                <anchor moveWithCells="1">
                  <from>
                    <xdr:col>4</xdr:col>
                    <xdr:colOff>0</xdr:colOff>
                    <xdr:row>427</xdr:row>
                    <xdr:rowOff>142875</xdr:rowOff>
                  </from>
                  <to>
                    <xdr:col>5</xdr:col>
                    <xdr:colOff>95250</xdr:colOff>
                    <xdr:row>429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5" name="Check Box 435">
              <controlPr defaultSize="0" autoFill="0" autoLine="0" autoPict="0">
                <anchor moveWithCells="1">
                  <from>
                    <xdr:col>4</xdr:col>
                    <xdr:colOff>0</xdr:colOff>
                    <xdr:row>428</xdr:row>
                    <xdr:rowOff>142875</xdr:rowOff>
                  </from>
                  <to>
                    <xdr:col>5</xdr:col>
                    <xdr:colOff>95250</xdr:colOff>
                    <xdr:row>430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6" name="Check Box 436">
              <controlPr defaultSize="0" autoFill="0" autoLine="0" autoPict="0">
                <anchor moveWithCells="1">
                  <from>
                    <xdr:col>4</xdr:col>
                    <xdr:colOff>0</xdr:colOff>
                    <xdr:row>429</xdr:row>
                    <xdr:rowOff>142875</xdr:rowOff>
                  </from>
                  <to>
                    <xdr:col>5</xdr:col>
                    <xdr:colOff>95250</xdr:colOff>
                    <xdr:row>431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7" name="Check Box 437">
              <controlPr defaultSize="0" autoFill="0" autoLine="0" autoPict="0">
                <anchor moveWithCells="1">
                  <from>
                    <xdr:col>4</xdr:col>
                    <xdr:colOff>0</xdr:colOff>
                    <xdr:row>430</xdr:row>
                    <xdr:rowOff>142875</xdr:rowOff>
                  </from>
                  <to>
                    <xdr:col>5</xdr:col>
                    <xdr:colOff>95250</xdr:colOff>
                    <xdr:row>432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8" name="Check Box 438">
              <controlPr defaultSize="0" autoFill="0" autoLine="0" autoPict="0">
                <anchor moveWithCells="1">
                  <from>
                    <xdr:col>4</xdr:col>
                    <xdr:colOff>0</xdr:colOff>
                    <xdr:row>431</xdr:row>
                    <xdr:rowOff>142875</xdr:rowOff>
                  </from>
                  <to>
                    <xdr:col>5</xdr:col>
                    <xdr:colOff>95250</xdr:colOff>
                    <xdr:row>433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9" name="Check Box 439">
              <controlPr defaultSize="0" autoFill="0" autoLine="0" autoPict="0">
                <anchor moveWithCells="1">
                  <from>
                    <xdr:col>4</xdr:col>
                    <xdr:colOff>0</xdr:colOff>
                    <xdr:row>432</xdr:row>
                    <xdr:rowOff>142875</xdr:rowOff>
                  </from>
                  <to>
                    <xdr:col>5</xdr:col>
                    <xdr:colOff>95250</xdr:colOff>
                    <xdr:row>434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0" name="Check Box 440">
              <controlPr defaultSize="0" autoFill="0" autoLine="0" autoPict="0">
                <anchor moveWithCells="1">
                  <from>
                    <xdr:col>4</xdr:col>
                    <xdr:colOff>0</xdr:colOff>
                    <xdr:row>433</xdr:row>
                    <xdr:rowOff>142875</xdr:rowOff>
                  </from>
                  <to>
                    <xdr:col>5</xdr:col>
                    <xdr:colOff>95250</xdr:colOff>
                    <xdr:row>435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1" name="Check Box 441">
              <controlPr defaultSize="0" autoFill="0" autoLine="0" autoPict="0">
                <anchor moveWithCells="1">
                  <from>
                    <xdr:col>4</xdr:col>
                    <xdr:colOff>0</xdr:colOff>
                    <xdr:row>434</xdr:row>
                    <xdr:rowOff>142875</xdr:rowOff>
                  </from>
                  <to>
                    <xdr:col>5</xdr:col>
                    <xdr:colOff>95250</xdr:colOff>
                    <xdr:row>436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2" name="Check Box 442">
              <controlPr defaultSize="0" autoFill="0" autoLine="0" autoPict="0">
                <anchor moveWithCells="1">
                  <from>
                    <xdr:col>4</xdr:col>
                    <xdr:colOff>0</xdr:colOff>
                    <xdr:row>435</xdr:row>
                    <xdr:rowOff>142875</xdr:rowOff>
                  </from>
                  <to>
                    <xdr:col>5</xdr:col>
                    <xdr:colOff>95250</xdr:colOff>
                    <xdr:row>437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3" name="Check Box 443">
              <controlPr defaultSize="0" autoFill="0" autoLine="0" autoPict="0">
                <anchor moveWithCells="1">
                  <from>
                    <xdr:col>4</xdr:col>
                    <xdr:colOff>0</xdr:colOff>
                    <xdr:row>436</xdr:row>
                    <xdr:rowOff>142875</xdr:rowOff>
                  </from>
                  <to>
                    <xdr:col>5</xdr:col>
                    <xdr:colOff>95250</xdr:colOff>
                    <xdr:row>438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4" name="Check Box 444">
              <controlPr defaultSize="0" autoFill="0" autoLine="0" autoPict="0">
                <anchor moveWithCells="1">
                  <from>
                    <xdr:col>4</xdr:col>
                    <xdr:colOff>0</xdr:colOff>
                    <xdr:row>437</xdr:row>
                    <xdr:rowOff>142875</xdr:rowOff>
                  </from>
                  <to>
                    <xdr:col>5</xdr:col>
                    <xdr:colOff>95250</xdr:colOff>
                    <xdr:row>439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5" name="Check Box 445">
              <controlPr defaultSize="0" autoFill="0" autoLine="0" autoPict="0">
                <anchor moveWithCells="1">
                  <from>
                    <xdr:col>4</xdr:col>
                    <xdr:colOff>0</xdr:colOff>
                    <xdr:row>438</xdr:row>
                    <xdr:rowOff>142875</xdr:rowOff>
                  </from>
                  <to>
                    <xdr:col>5</xdr:col>
                    <xdr:colOff>95250</xdr:colOff>
                    <xdr:row>440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6" name="Check Box 446">
              <controlPr defaultSize="0" autoFill="0" autoLine="0" autoPict="0">
                <anchor moveWithCells="1">
                  <from>
                    <xdr:col>4</xdr:col>
                    <xdr:colOff>0</xdr:colOff>
                    <xdr:row>439</xdr:row>
                    <xdr:rowOff>142875</xdr:rowOff>
                  </from>
                  <to>
                    <xdr:col>5</xdr:col>
                    <xdr:colOff>95250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7" name="Check Box 447">
              <controlPr defaultSize="0" autoFill="0" autoLine="0" autoPict="0">
                <anchor moveWithCells="1">
                  <from>
                    <xdr:col>4</xdr:col>
                    <xdr:colOff>0</xdr:colOff>
                    <xdr:row>440</xdr:row>
                    <xdr:rowOff>142875</xdr:rowOff>
                  </from>
                  <to>
                    <xdr:col>5</xdr:col>
                    <xdr:colOff>95250</xdr:colOff>
                    <xdr:row>442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8" name="Check Box 448">
              <controlPr defaultSize="0" autoFill="0" autoLine="0" autoPict="0">
                <anchor moveWithCells="1">
                  <from>
                    <xdr:col>4</xdr:col>
                    <xdr:colOff>0</xdr:colOff>
                    <xdr:row>441</xdr:row>
                    <xdr:rowOff>142875</xdr:rowOff>
                  </from>
                  <to>
                    <xdr:col>5</xdr:col>
                    <xdr:colOff>95250</xdr:colOff>
                    <xdr:row>443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9" name="Check Box 449">
              <controlPr defaultSize="0" autoFill="0" autoLine="0" autoPict="0">
                <anchor moveWithCells="1">
                  <from>
                    <xdr:col>4</xdr:col>
                    <xdr:colOff>0</xdr:colOff>
                    <xdr:row>442</xdr:row>
                    <xdr:rowOff>142875</xdr:rowOff>
                  </from>
                  <to>
                    <xdr:col>5</xdr:col>
                    <xdr:colOff>95250</xdr:colOff>
                    <xdr:row>444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0" name="Check Box 450">
              <controlPr defaultSize="0" autoFill="0" autoLine="0" autoPict="0">
                <anchor moveWithCells="1">
                  <from>
                    <xdr:col>4</xdr:col>
                    <xdr:colOff>0</xdr:colOff>
                    <xdr:row>443</xdr:row>
                    <xdr:rowOff>142875</xdr:rowOff>
                  </from>
                  <to>
                    <xdr:col>5</xdr:col>
                    <xdr:colOff>95250</xdr:colOff>
                    <xdr:row>445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1" name="Check Box 451">
              <controlPr defaultSize="0" autoFill="0" autoLine="0" autoPict="0">
                <anchor moveWithCells="1">
                  <from>
                    <xdr:col>4</xdr:col>
                    <xdr:colOff>0</xdr:colOff>
                    <xdr:row>444</xdr:row>
                    <xdr:rowOff>142875</xdr:rowOff>
                  </from>
                  <to>
                    <xdr:col>5</xdr:col>
                    <xdr:colOff>95250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2" name="Check Box 452">
              <controlPr defaultSize="0" autoFill="0" autoLine="0" autoPict="0">
                <anchor moveWithCells="1">
                  <from>
                    <xdr:col>4</xdr:col>
                    <xdr:colOff>0</xdr:colOff>
                    <xdr:row>445</xdr:row>
                    <xdr:rowOff>142875</xdr:rowOff>
                  </from>
                  <to>
                    <xdr:col>5</xdr:col>
                    <xdr:colOff>95250</xdr:colOff>
                    <xdr:row>447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3" name="Check Box 453">
              <controlPr defaultSize="0" autoFill="0" autoLine="0" autoPict="0">
                <anchor moveWithCells="1">
                  <from>
                    <xdr:col>4</xdr:col>
                    <xdr:colOff>0</xdr:colOff>
                    <xdr:row>446</xdr:row>
                    <xdr:rowOff>142875</xdr:rowOff>
                  </from>
                  <to>
                    <xdr:col>5</xdr:col>
                    <xdr:colOff>95250</xdr:colOff>
                    <xdr:row>448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4" name="Check Box 454">
              <controlPr defaultSize="0" autoFill="0" autoLine="0" autoPict="0">
                <anchor moveWithCells="1">
                  <from>
                    <xdr:col>4</xdr:col>
                    <xdr:colOff>0</xdr:colOff>
                    <xdr:row>447</xdr:row>
                    <xdr:rowOff>142875</xdr:rowOff>
                  </from>
                  <to>
                    <xdr:col>5</xdr:col>
                    <xdr:colOff>95250</xdr:colOff>
                    <xdr:row>449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5" name="Check Box 455">
              <controlPr defaultSize="0" autoFill="0" autoLine="0" autoPict="0">
                <anchor moveWithCells="1">
                  <from>
                    <xdr:col>4</xdr:col>
                    <xdr:colOff>0</xdr:colOff>
                    <xdr:row>448</xdr:row>
                    <xdr:rowOff>142875</xdr:rowOff>
                  </from>
                  <to>
                    <xdr:col>5</xdr:col>
                    <xdr:colOff>95250</xdr:colOff>
                    <xdr:row>450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6" name="Check Box 456">
              <controlPr defaultSize="0" autoFill="0" autoLine="0" autoPict="0">
                <anchor moveWithCells="1">
                  <from>
                    <xdr:col>4</xdr:col>
                    <xdr:colOff>0</xdr:colOff>
                    <xdr:row>449</xdr:row>
                    <xdr:rowOff>142875</xdr:rowOff>
                  </from>
                  <to>
                    <xdr:col>5</xdr:col>
                    <xdr:colOff>95250</xdr:colOff>
                    <xdr:row>451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7" name="Check Box 457">
              <controlPr defaultSize="0" autoFill="0" autoLine="0" autoPict="0">
                <anchor moveWithCells="1">
                  <from>
                    <xdr:col>4</xdr:col>
                    <xdr:colOff>0</xdr:colOff>
                    <xdr:row>450</xdr:row>
                    <xdr:rowOff>142875</xdr:rowOff>
                  </from>
                  <to>
                    <xdr:col>5</xdr:col>
                    <xdr:colOff>95250</xdr:colOff>
                    <xdr:row>452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8" name="Check Box 458">
              <controlPr defaultSize="0" autoFill="0" autoLine="0" autoPict="0">
                <anchor moveWithCells="1">
                  <from>
                    <xdr:col>4</xdr:col>
                    <xdr:colOff>0</xdr:colOff>
                    <xdr:row>451</xdr:row>
                    <xdr:rowOff>142875</xdr:rowOff>
                  </from>
                  <to>
                    <xdr:col>5</xdr:col>
                    <xdr:colOff>95250</xdr:colOff>
                    <xdr:row>453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9" name="Check Box 459">
              <controlPr defaultSize="0" autoFill="0" autoLine="0" autoPict="0">
                <anchor moveWithCells="1">
                  <from>
                    <xdr:col>4</xdr:col>
                    <xdr:colOff>0</xdr:colOff>
                    <xdr:row>452</xdr:row>
                    <xdr:rowOff>142875</xdr:rowOff>
                  </from>
                  <to>
                    <xdr:col>5</xdr:col>
                    <xdr:colOff>95250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0" name="Check Box 460">
              <controlPr defaultSize="0" autoFill="0" autoLine="0" autoPict="0">
                <anchor moveWithCells="1">
                  <from>
                    <xdr:col>4</xdr:col>
                    <xdr:colOff>0</xdr:colOff>
                    <xdr:row>453</xdr:row>
                    <xdr:rowOff>142875</xdr:rowOff>
                  </from>
                  <to>
                    <xdr:col>5</xdr:col>
                    <xdr:colOff>95250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1" name="Check Box 461">
              <controlPr defaultSize="0" autoFill="0" autoLine="0" autoPict="0">
                <anchor moveWithCells="1">
                  <from>
                    <xdr:col>4</xdr:col>
                    <xdr:colOff>0</xdr:colOff>
                    <xdr:row>454</xdr:row>
                    <xdr:rowOff>142875</xdr:rowOff>
                  </from>
                  <to>
                    <xdr:col>5</xdr:col>
                    <xdr:colOff>95250</xdr:colOff>
                    <xdr:row>456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2" name="Check Box 462">
              <controlPr defaultSize="0" autoFill="0" autoLine="0" autoPict="0">
                <anchor moveWithCells="1">
                  <from>
                    <xdr:col>4</xdr:col>
                    <xdr:colOff>0</xdr:colOff>
                    <xdr:row>455</xdr:row>
                    <xdr:rowOff>142875</xdr:rowOff>
                  </from>
                  <to>
                    <xdr:col>5</xdr:col>
                    <xdr:colOff>95250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3" name="Check Box 463">
              <controlPr defaultSize="0" autoFill="0" autoLine="0" autoPict="0">
                <anchor moveWithCells="1">
                  <from>
                    <xdr:col>4</xdr:col>
                    <xdr:colOff>0</xdr:colOff>
                    <xdr:row>456</xdr:row>
                    <xdr:rowOff>142875</xdr:rowOff>
                  </from>
                  <to>
                    <xdr:col>5</xdr:col>
                    <xdr:colOff>95250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4" name="Check Box 464">
              <controlPr defaultSize="0" autoFill="0" autoLine="0" autoPict="0">
                <anchor moveWithCells="1">
                  <from>
                    <xdr:col>4</xdr:col>
                    <xdr:colOff>0</xdr:colOff>
                    <xdr:row>457</xdr:row>
                    <xdr:rowOff>142875</xdr:rowOff>
                  </from>
                  <to>
                    <xdr:col>5</xdr:col>
                    <xdr:colOff>95250</xdr:colOff>
                    <xdr:row>459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5" name="Check Box 465">
              <controlPr defaultSize="0" autoFill="0" autoLine="0" autoPict="0">
                <anchor moveWithCells="1">
                  <from>
                    <xdr:col>4</xdr:col>
                    <xdr:colOff>0</xdr:colOff>
                    <xdr:row>458</xdr:row>
                    <xdr:rowOff>142875</xdr:rowOff>
                  </from>
                  <to>
                    <xdr:col>5</xdr:col>
                    <xdr:colOff>95250</xdr:colOff>
                    <xdr:row>460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6" name="Check Box 466">
              <controlPr defaultSize="0" autoFill="0" autoLine="0" autoPict="0">
                <anchor moveWithCells="1">
                  <from>
                    <xdr:col>4</xdr:col>
                    <xdr:colOff>0</xdr:colOff>
                    <xdr:row>459</xdr:row>
                    <xdr:rowOff>142875</xdr:rowOff>
                  </from>
                  <to>
                    <xdr:col>5</xdr:col>
                    <xdr:colOff>95250</xdr:colOff>
                    <xdr:row>461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7" name="Check Box 467">
              <controlPr defaultSize="0" autoFill="0" autoLine="0" autoPict="0">
                <anchor moveWithCells="1">
                  <from>
                    <xdr:col>4</xdr:col>
                    <xdr:colOff>0</xdr:colOff>
                    <xdr:row>460</xdr:row>
                    <xdr:rowOff>142875</xdr:rowOff>
                  </from>
                  <to>
                    <xdr:col>5</xdr:col>
                    <xdr:colOff>95250</xdr:colOff>
                    <xdr:row>462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8" name="Check Box 468">
              <controlPr defaultSize="0" autoFill="0" autoLine="0" autoPict="0">
                <anchor moveWithCells="1">
                  <from>
                    <xdr:col>4</xdr:col>
                    <xdr:colOff>0</xdr:colOff>
                    <xdr:row>461</xdr:row>
                    <xdr:rowOff>142875</xdr:rowOff>
                  </from>
                  <to>
                    <xdr:col>5</xdr:col>
                    <xdr:colOff>95250</xdr:colOff>
                    <xdr:row>463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9" name="Check Box 469">
              <controlPr defaultSize="0" autoFill="0" autoLine="0" autoPict="0">
                <anchor moveWithCells="1">
                  <from>
                    <xdr:col>4</xdr:col>
                    <xdr:colOff>0</xdr:colOff>
                    <xdr:row>462</xdr:row>
                    <xdr:rowOff>142875</xdr:rowOff>
                  </from>
                  <to>
                    <xdr:col>5</xdr:col>
                    <xdr:colOff>95250</xdr:colOff>
                    <xdr:row>464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0" name="Check Box 470">
              <controlPr defaultSize="0" autoFill="0" autoLine="0" autoPict="0">
                <anchor moveWithCells="1">
                  <from>
                    <xdr:col>4</xdr:col>
                    <xdr:colOff>0</xdr:colOff>
                    <xdr:row>463</xdr:row>
                    <xdr:rowOff>142875</xdr:rowOff>
                  </from>
                  <to>
                    <xdr:col>5</xdr:col>
                    <xdr:colOff>95250</xdr:colOff>
                    <xdr:row>465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1" name="Check Box 471">
              <controlPr defaultSize="0" autoFill="0" autoLine="0" autoPict="0">
                <anchor moveWithCells="1">
                  <from>
                    <xdr:col>4</xdr:col>
                    <xdr:colOff>0</xdr:colOff>
                    <xdr:row>464</xdr:row>
                    <xdr:rowOff>142875</xdr:rowOff>
                  </from>
                  <to>
                    <xdr:col>5</xdr:col>
                    <xdr:colOff>95250</xdr:colOff>
                    <xdr:row>466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2" name="Check Box 472">
              <controlPr defaultSize="0" autoFill="0" autoLine="0" autoPict="0">
                <anchor moveWithCells="1">
                  <from>
                    <xdr:col>4</xdr:col>
                    <xdr:colOff>0</xdr:colOff>
                    <xdr:row>465</xdr:row>
                    <xdr:rowOff>142875</xdr:rowOff>
                  </from>
                  <to>
                    <xdr:col>5</xdr:col>
                    <xdr:colOff>95250</xdr:colOff>
                    <xdr:row>467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3" name="Check Box 473">
              <controlPr defaultSize="0" autoFill="0" autoLine="0" autoPict="0">
                <anchor moveWithCells="1">
                  <from>
                    <xdr:col>4</xdr:col>
                    <xdr:colOff>0</xdr:colOff>
                    <xdr:row>466</xdr:row>
                    <xdr:rowOff>142875</xdr:rowOff>
                  </from>
                  <to>
                    <xdr:col>5</xdr:col>
                    <xdr:colOff>95250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4" name="Check Box 474">
              <controlPr defaultSize="0" autoFill="0" autoLine="0" autoPict="0">
                <anchor moveWithCells="1">
                  <from>
                    <xdr:col>4</xdr:col>
                    <xdr:colOff>0</xdr:colOff>
                    <xdr:row>467</xdr:row>
                    <xdr:rowOff>142875</xdr:rowOff>
                  </from>
                  <to>
                    <xdr:col>5</xdr:col>
                    <xdr:colOff>95250</xdr:colOff>
                    <xdr:row>469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5" name="Check Box 475">
              <controlPr defaultSize="0" autoFill="0" autoLine="0" autoPict="0">
                <anchor moveWithCells="1">
                  <from>
                    <xdr:col>4</xdr:col>
                    <xdr:colOff>0</xdr:colOff>
                    <xdr:row>468</xdr:row>
                    <xdr:rowOff>142875</xdr:rowOff>
                  </from>
                  <to>
                    <xdr:col>5</xdr:col>
                    <xdr:colOff>95250</xdr:colOff>
                    <xdr:row>470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6" name="Check Box 476">
              <controlPr defaultSize="0" autoFill="0" autoLine="0" autoPict="0">
                <anchor moveWithCells="1">
                  <from>
                    <xdr:col>4</xdr:col>
                    <xdr:colOff>0</xdr:colOff>
                    <xdr:row>469</xdr:row>
                    <xdr:rowOff>142875</xdr:rowOff>
                  </from>
                  <to>
                    <xdr:col>5</xdr:col>
                    <xdr:colOff>95250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7" name="Check Box 477">
              <controlPr defaultSize="0" autoFill="0" autoLine="0" autoPict="0">
                <anchor moveWithCells="1">
                  <from>
                    <xdr:col>4</xdr:col>
                    <xdr:colOff>0</xdr:colOff>
                    <xdr:row>470</xdr:row>
                    <xdr:rowOff>142875</xdr:rowOff>
                  </from>
                  <to>
                    <xdr:col>5</xdr:col>
                    <xdr:colOff>95250</xdr:colOff>
                    <xdr:row>472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8" name="Check Box 478">
              <controlPr defaultSize="0" autoFill="0" autoLine="0" autoPict="0">
                <anchor moveWithCells="1">
                  <from>
                    <xdr:col>4</xdr:col>
                    <xdr:colOff>0</xdr:colOff>
                    <xdr:row>471</xdr:row>
                    <xdr:rowOff>142875</xdr:rowOff>
                  </from>
                  <to>
                    <xdr:col>5</xdr:col>
                    <xdr:colOff>95250</xdr:colOff>
                    <xdr:row>473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9" name="Check Box 479">
              <controlPr defaultSize="0" autoFill="0" autoLine="0" autoPict="0">
                <anchor moveWithCells="1">
                  <from>
                    <xdr:col>4</xdr:col>
                    <xdr:colOff>0</xdr:colOff>
                    <xdr:row>472</xdr:row>
                    <xdr:rowOff>142875</xdr:rowOff>
                  </from>
                  <to>
                    <xdr:col>5</xdr:col>
                    <xdr:colOff>95250</xdr:colOff>
                    <xdr:row>474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0" name="Check Box 480">
              <controlPr defaultSize="0" autoFill="0" autoLine="0" autoPict="0">
                <anchor moveWithCells="1">
                  <from>
                    <xdr:col>4</xdr:col>
                    <xdr:colOff>0</xdr:colOff>
                    <xdr:row>473</xdr:row>
                    <xdr:rowOff>142875</xdr:rowOff>
                  </from>
                  <to>
                    <xdr:col>5</xdr:col>
                    <xdr:colOff>95250</xdr:colOff>
                    <xdr:row>475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1" name="Check Box 481">
              <controlPr defaultSize="0" autoFill="0" autoLine="0" autoPict="0">
                <anchor moveWithCells="1">
                  <from>
                    <xdr:col>4</xdr:col>
                    <xdr:colOff>0</xdr:colOff>
                    <xdr:row>474</xdr:row>
                    <xdr:rowOff>142875</xdr:rowOff>
                  </from>
                  <to>
                    <xdr:col>5</xdr:col>
                    <xdr:colOff>95250</xdr:colOff>
                    <xdr:row>476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2" name="Check Box 482">
              <controlPr defaultSize="0" autoFill="0" autoLine="0" autoPict="0">
                <anchor moveWithCells="1">
                  <from>
                    <xdr:col>4</xdr:col>
                    <xdr:colOff>0</xdr:colOff>
                    <xdr:row>475</xdr:row>
                    <xdr:rowOff>142875</xdr:rowOff>
                  </from>
                  <to>
                    <xdr:col>5</xdr:col>
                    <xdr:colOff>95250</xdr:colOff>
                    <xdr:row>477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3" name="Check Box 483">
              <controlPr defaultSize="0" autoFill="0" autoLine="0" autoPict="0">
                <anchor moveWithCells="1">
                  <from>
                    <xdr:col>4</xdr:col>
                    <xdr:colOff>0</xdr:colOff>
                    <xdr:row>476</xdr:row>
                    <xdr:rowOff>142875</xdr:rowOff>
                  </from>
                  <to>
                    <xdr:col>5</xdr:col>
                    <xdr:colOff>95250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4" name="Check Box 484">
              <controlPr defaultSize="0" autoFill="0" autoLine="0" autoPict="0">
                <anchor moveWithCells="1">
                  <from>
                    <xdr:col>4</xdr:col>
                    <xdr:colOff>0</xdr:colOff>
                    <xdr:row>477</xdr:row>
                    <xdr:rowOff>142875</xdr:rowOff>
                  </from>
                  <to>
                    <xdr:col>5</xdr:col>
                    <xdr:colOff>95250</xdr:colOff>
                    <xdr:row>479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5" name="Check Box 485">
              <controlPr defaultSize="0" autoFill="0" autoLine="0" autoPict="0">
                <anchor moveWithCells="1">
                  <from>
                    <xdr:col>4</xdr:col>
                    <xdr:colOff>0</xdr:colOff>
                    <xdr:row>478</xdr:row>
                    <xdr:rowOff>142875</xdr:rowOff>
                  </from>
                  <to>
                    <xdr:col>5</xdr:col>
                    <xdr:colOff>95250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6" name="Check Box 486">
              <controlPr defaultSize="0" autoFill="0" autoLine="0" autoPict="0">
                <anchor moveWithCells="1">
                  <from>
                    <xdr:col>4</xdr:col>
                    <xdr:colOff>0</xdr:colOff>
                    <xdr:row>479</xdr:row>
                    <xdr:rowOff>142875</xdr:rowOff>
                  </from>
                  <to>
                    <xdr:col>5</xdr:col>
                    <xdr:colOff>95250</xdr:colOff>
                    <xdr:row>481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7" name="Check Box 487">
              <controlPr defaultSize="0" autoFill="0" autoLine="0" autoPict="0">
                <anchor moveWithCells="1">
                  <from>
                    <xdr:col>4</xdr:col>
                    <xdr:colOff>0</xdr:colOff>
                    <xdr:row>480</xdr:row>
                    <xdr:rowOff>142875</xdr:rowOff>
                  </from>
                  <to>
                    <xdr:col>5</xdr:col>
                    <xdr:colOff>95250</xdr:colOff>
                    <xdr:row>482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8" name="Check Box 488">
              <controlPr defaultSize="0" autoFill="0" autoLine="0" autoPict="0">
                <anchor moveWithCells="1">
                  <from>
                    <xdr:col>4</xdr:col>
                    <xdr:colOff>0</xdr:colOff>
                    <xdr:row>481</xdr:row>
                    <xdr:rowOff>142875</xdr:rowOff>
                  </from>
                  <to>
                    <xdr:col>5</xdr:col>
                    <xdr:colOff>95250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9" name="Check Box 489">
              <controlPr defaultSize="0" autoFill="0" autoLine="0" autoPict="0">
                <anchor moveWithCells="1">
                  <from>
                    <xdr:col>4</xdr:col>
                    <xdr:colOff>0</xdr:colOff>
                    <xdr:row>482</xdr:row>
                    <xdr:rowOff>142875</xdr:rowOff>
                  </from>
                  <to>
                    <xdr:col>5</xdr:col>
                    <xdr:colOff>95250</xdr:colOff>
                    <xdr:row>484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0" name="Check Box 490">
              <controlPr defaultSize="0" autoFill="0" autoLine="0" autoPict="0">
                <anchor moveWithCells="1">
                  <from>
                    <xdr:col>4</xdr:col>
                    <xdr:colOff>0</xdr:colOff>
                    <xdr:row>483</xdr:row>
                    <xdr:rowOff>142875</xdr:rowOff>
                  </from>
                  <to>
                    <xdr:col>5</xdr:col>
                    <xdr:colOff>95250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1" name="Check Box 491">
              <controlPr defaultSize="0" autoFill="0" autoLine="0" autoPict="0">
                <anchor moveWithCells="1">
                  <from>
                    <xdr:col>4</xdr:col>
                    <xdr:colOff>0</xdr:colOff>
                    <xdr:row>484</xdr:row>
                    <xdr:rowOff>142875</xdr:rowOff>
                  </from>
                  <to>
                    <xdr:col>5</xdr:col>
                    <xdr:colOff>95250</xdr:colOff>
                    <xdr:row>486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2" name="Check Box 492">
              <controlPr defaultSize="0" autoFill="0" autoLine="0" autoPict="0">
                <anchor moveWithCells="1">
                  <from>
                    <xdr:col>4</xdr:col>
                    <xdr:colOff>0</xdr:colOff>
                    <xdr:row>485</xdr:row>
                    <xdr:rowOff>142875</xdr:rowOff>
                  </from>
                  <to>
                    <xdr:col>5</xdr:col>
                    <xdr:colOff>95250</xdr:colOff>
                    <xdr:row>487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3" name="Check Box 493">
              <controlPr defaultSize="0" autoFill="0" autoLine="0" autoPict="0">
                <anchor moveWithCells="1">
                  <from>
                    <xdr:col>4</xdr:col>
                    <xdr:colOff>0</xdr:colOff>
                    <xdr:row>486</xdr:row>
                    <xdr:rowOff>142875</xdr:rowOff>
                  </from>
                  <to>
                    <xdr:col>5</xdr:col>
                    <xdr:colOff>95250</xdr:colOff>
                    <xdr:row>488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4" name="Check Box 494">
              <controlPr defaultSize="0" autoFill="0" autoLine="0" autoPict="0">
                <anchor moveWithCells="1">
                  <from>
                    <xdr:col>4</xdr:col>
                    <xdr:colOff>0</xdr:colOff>
                    <xdr:row>487</xdr:row>
                    <xdr:rowOff>142875</xdr:rowOff>
                  </from>
                  <to>
                    <xdr:col>5</xdr:col>
                    <xdr:colOff>95250</xdr:colOff>
                    <xdr:row>489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5" name="Check Box 495">
              <controlPr defaultSize="0" autoFill="0" autoLine="0" autoPict="0">
                <anchor moveWithCells="1">
                  <from>
                    <xdr:col>4</xdr:col>
                    <xdr:colOff>0</xdr:colOff>
                    <xdr:row>488</xdr:row>
                    <xdr:rowOff>142875</xdr:rowOff>
                  </from>
                  <to>
                    <xdr:col>5</xdr:col>
                    <xdr:colOff>95250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6" name="Check Box 496">
              <controlPr defaultSize="0" autoFill="0" autoLine="0" autoPict="0">
                <anchor moveWithCells="1">
                  <from>
                    <xdr:col>4</xdr:col>
                    <xdr:colOff>0</xdr:colOff>
                    <xdr:row>489</xdr:row>
                    <xdr:rowOff>142875</xdr:rowOff>
                  </from>
                  <to>
                    <xdr:col>5</xdr:col>
                    <xdr:colOff>95250</xdr:colOff>
                    <xdr:row>491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7" name="Check Box 497">
              <controlPr defaultSize="0" autoFill="0" autoLine="0" autoPict="0">
                <anchor moveWithCells="1">
                  <from>
                    <xdr:col>4</xdr:col>
                    <xdr:colOff>0</xdr:colOff>
                    <xdr:row>490</xdr:row>
                    <xdr:rowOff>142875</xdr:rowOff>
                  </from>
                  <to>
                    <xdr:col>5</xdr:col>
                    <xdr:colOff>95250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8" name="Check Box 498">
              <controlPr defaultSize="0" autoFill="0" autoLine="0" autoPict="0">
                <anchor moveWithCells="1">
                  <from>
                    <xdr:col>4</xdr:col>
                    <xdr:colOff>0</xdr:colOff>
                    <xdr:row>491</xdr:row>
                    <xdr:rowOff>142875</xdr:rowOff>
                  </from>
                  <to>
                    <xdr:col>5</xdr:col>
                    <xdr:colOff>95250</xdr:colOff>
                    <xdr:row>493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9" name="Check Box 499">
              <controlPr defaultSize="0" autoFill="0" autoLine="0" autoPict="0">
                <anchor moveWithCells="1">
                  <from>
                    <xdr:col>4</xdr:col>
                    <xdr:colOff>0</xdr:colOff>
                    <xdr:row>492</xdr:row>
                    <xdr:rowOff>142875</xdr:rowOff>
                  </from>
                  <to>
                    <xdr:col>5</xdr:col>
                    <xdr:colOff>95250</xdr:colOff>
                    <xdr:row>494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0" name="Check Box 500">
              <controlPr defaultSize="0" autoFill="0" autoLine="0" autoPict="0">
                <anchor moveWithCells="1">
                  <from>
                    <xdr:col>4</xdr:col>
                    <xdr:colOff>0</xdr:colOff>
                    <xdr:row>493</xdr:row>
                    <xdr:rowOff>142875</xdr:rowOff>
                  </from>
                  <to>
                    <xdr:col>5</xdr:col>
                    <xdr:colOff>95250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1" name="Check Box 501">
              <controlPr defaultSize="0" autoFill="0" autoLine="0" autoPict="0">
                <anchor moveWithCells="1">
                  <from>
                    <xdr:col>4</xdr:col>
                    <xdr:colOff>0</xdr:colOff>
                    <xdr:row>494</xdr:row>
                    <xdr:rowOff>142875</xdr:rowOff>
                  </from>
                  <to>
                    <xdr:col>5</xdr:col>
                    <xdr:colOff>95250</xdr:colOff>
                    <xdr:row>496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2" name="Check Box 502">
              <controlPr defaultSize="0" autoFill="0" autoLine="0" autoPict="0">
                <anchor moveWithCells="1">
                  <from>
                    <xdr:col>4</xdr:col>
                    <xdr:colOff>0</xdr:colOff>
                    <xdr:row>495</xdr:row>
                    <xdr:rowOff>142875</xdr:rowOff>
                  </from>
                  <to>
                    <xdr:col>5</xdr:col>
                    <xdr:colOff>95250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3" name="Check Box 503">
              <controlPr defaultSize="0" autoFill="0" autoLine="0" autoPict="0">
                <anchor moveWithCells="1">
                  <from>
                    <xdr:col>4</xdr:col>
                    <xdr:colOff>0</xdr:colOff>
                    <xdr:row>496</xdr:row>
                    <xdr:rowOff>142875</xdr:rowOff>
                  </from>
                  <to>
                    <xdr:col>5</xdr:col>
                    <xdr:colOff>95250</xdr:colOff>
                    <xdr:row>498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4" name="Check Box 504">
              <controlPr defaultSize="0" autoFill="0" autoLine="0" autoPict="0">
                <anchor moveWithCells="1">
                  <from>
                    <xdr:col>4</xdr:col>
                    <xdr:colOff>0</xdr:colOff>
                    <xdr:row>497</xdr:row>
                    <xdr:rowOff>142875</xdr:rowOff>
                  </from>
                  <to>
                    <xdr:col>5</xdr:col>
                    <xdr:colOff>95250</xdr:colOff>
                    <xdr:row>499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5" name="Check Box 505">
              <controlPr defaultSize="0" autoFill="0" autoLine="0" autoPict="0">
                <anchor moveWithCells="1">
                  <from>
                    <xdr:col>4</xdr:col>
                    <xdr:colOff>0</xdr:colOff>
                    <xdr:row>498</xdr:row>
                    <xdr:rowOff>142875</xdr:rowOff>
                  </from>
                  <to>
                    <xdr:col>5</xdr:col>
                    <xdr:colOff>95250</xdr:colOff>
                    <xdr:row>500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6" name="Check Box 506">
              <controlPr defaultSize="0" autoFill="0" autoLine="0" autoPict="0">
                <anchor moveWithCells="1">
                  <from>
                    <xdr:col>4</xdr:col>
                    <xdr:colOff>0</xdr:colOff>
                    <xdr:row>499</xdr:row>
                    <xdr:rowOff>142875</xdr:rowOff>
                  </from>
                  <to>
                    <xdr:col>5</xdr:col>
                    <xdr:colOff>95250</xdr:colOff>
                    <xdr:row>501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7" name="Check Box 507">
              <controlPr defaultSize="0" autoFill="0" autoLine="0" autoPict="0">
                <anchor moveWithCells="1">
                  <from>
                    <xdr:col>4</xdr:col>
                    <xdr:colOff>0</xdr:colOff>
                    <xdr:row>500</xdr:row>
                    <xdr:rowOff>142875</xdr:rowOff>
                  </from>
                  <to>
                    <xdr:col>5</xdr:col>
                    <xdr:colOff>95250</xdr:colOff>
                    <xdr:row>502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8" name="Check Box 508">
              <controlPr defaultSize="0" autoFill="0" autoLine="0" autoPict="0">
                <anchor moveWithCells="1">
                  <from>
                    <xdr:col>4</xdr:col>
                    <xdr:colOff>0</xdr:colOff>
                    <xdr:row>501</xdr:row>
                    <xdr:rowOff>142875</xdr:rowOff>
                  </from>
                  <to>
                    <xdr:col>5</xdr:col>
                    <xdr:colOff>95250</xdr:colOff>
                    <xdr:row>503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9" name="Check Box 509">
              <controlPr defaultSize="0" autoFill="0" autoLine="0" autoPict="0">
                <anchor moveWithCells="1">
                  <from>
                    <xdr:col>4</xdr:col>
                    <xdr:colOff>0</xdr:colOff>
                    <xdr:row>502</xdr:row>
                    <xdr:rowOff>142875</xdr:rowOff>
                  </from>
                  <to>
                    <xdr:col>5</xdr:col>
                    <xdr:colOff>95250</xdr:colOff>
                    <xdr:row>504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0" name="Check Box 510">
              <controlPr defaultSize="0" autoFill="0" autoLine="0" autoPict="0">
                <anchor moveWithCells="1">
                  <from>
                    <xdr:col>4</xdr:col>
                    <xdr:colOff>0</xdr:colOff>
                    <xdr:row>503</xdr:row>
                    <xdr:rowOff>142875</xdr:rowOff>
                  </from>
                  <to>
                    <xdr:col>5</xdr:col>
                    <xdr:colOff>95250</xdr:colOff>
                    <xdr:row>505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1" name="Check Box 511">
              <controlPr defaultSize="0" autoFill="0" autoLine="0" autoPict="0">
                <anchor moveWithCells="1">
                  <from>
                    <xdr:col>4</xdr:col>
                    <xdr:colOff>0</xdr:colOff>
                    <xdr:row>504</xdr:row>
                    <xdr:rowOff>142875</xdr:rowOff>
                  </from>
                  <to>
                    <xdr:col>5</xdr:col>
                    <xdr:colOff>95250</xdr:colOff>
                    <xdr:row>506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2" name="Check Box 512">
              <controlPr defaultSize="0" autoFill="0" autoLine="0" autoPict="0">
                <anchor moveWithCells="1">
                  <from>
                    <xdr:col>4</xdr:col>
                    <xdr:colOff>0</xdr:colOff>
                    <xdr:row>505</xdr:row>
                    <xdr:rowOff>142875</xdr:rowOff>
                  </from>
                  <to>
                    <xdr:col>5</xdr:col>
                    <xdr:colOff>95250</xdr:colOff>
                    <xdr:row>507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3" name="Check Box 513">
              <controlPr defaultSize="0" autoFill="0" autoLine="0" autoPict="0">
                <anchor moveWithCells="1">
                  <from>
                    <xdr:col>4</xdr:col>
                    <xdr:colOff>0</xdr:colOff>
                    <xdr:row>506</xdr:row>
                    <xdr:rowOff>142875</xdr:rowOff>
                  </from>
                  <to>
                    <xdr:col>5</xdr:col>
                    <xdr:colOff>95250</xdr:colOff>
                    <xdr:row>508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4" name="Check Box 514">
              <controlPr defaultSize="0" autoFill="0" autoLine="0" autoPict="0">
                <anchor moveWithCells="1">
                  <from>
                    <xdr:col>4</xdr:col>
                    <xdr:colOff>0</xdr:colOff>
                    <xdr:row>507</xdr:row>
                    <xdr:rowOff>142875</xdr:rowOff>
                  </from>
                  <to>
                    <xdr:col>5</xdr:col>
                    <xdr:colOff>95250</xdr:colOff>
                    <xdr:row>509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5" name="Check Box 515">
              <controlPr defaultSize="0" autoFill="0" autoLine="0" autoPict="0">
                <anchor moveWithCells="1">
                  <from>
                    <xdr:col>4</xdr:col>
                    <xdr:colOff>0</xdr:colOff>
                    <xdr:row>508</xdr:row>
                    <xdr:rowOff>142875</xdr:rowOff>
                  </from>
                  <to>
                    <xdr:col>5</xdr:col>
                    <xdr:colOff>95250</xdr:colOff>
                    <xdr:row>510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6" name="Check Box 516">
              <controlPr defaultSize="0" autoFill="0" autoLine="0" autoPict="0">
                <anchor moveWithCells="1">
                  <from>
                    <xdr:col>4</xdr:col>
                    <xdr:colOff>0</xdr:colOff>
                    <xdr:row>509</xdr:row>
                    <xdr:rowOff>142875</xdr:rowOff>
                  </from>
                  <to>
                    <xdr:col>5</xdr:col>
                    <xdr:colOff>95250</xdr:colOff>
                    <xdr:row>511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7" name="Check Box 517">
              <controlPr defaultSize="0" autoFill="0" autoLine="0" autoPict="0">
                <anchor moveWithCells="1">
                  <from>
                    <xdr:col>4</xdr:col>
                    <xdr:colOff>0</xdr:colOff>
                    <xdr:row>510</xdr:row>
                    <xdr:rowOff>142875</xdr:rowOff>
                  </from>
                  <to>
                    <xdr:col>5</xdr:col>
                    <xdr:colOff>95250</xdr:colOff>
                    <xdr:row>512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8" name="Check Box 518">
              <controlPr defaultSize="0" autoFill="0" autoLine="0" autoPict="0">
                <anchor moveWithCells="1">
                  <from>
                    <xdr:col>4</xdr:col>
                    <xdr:colOff>0</xdr:colOff>
                    <xdr:row>511</xdr:row>
                    <xdr:rowOff>142875</xdr:rowOff>
                  </from>
                  <to>
                    <xdr:col>5</xdr:col>
                    <xdr:colOff>95250</xdr:colOff>
                    <xdr:row>513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9" name="Check Box 519">
              <controlPr defaultSize="0" autoFill="0" autoLine="0" autoPict="0">
                <anchor moveWithCells="1">
                  <from>
                    <xdr:col>4</xdr:col>
                    <xdr:colOff>0</xdr:colOff>
                    <xdr:row>512</xdr:row>
                    <xdr:rowOff>142875</xdr:rowOff>
                  </from>
                  <to>
                    <xdr:col>5</xdr:col>
                    <xdr:colOff>95250</xdr:colOff>
                    <xdr:row>514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0" name="Check Box 520">
              <controlPr defaultSize="0" autoFill="0" autoLine="0" autoPict="0">
                <anchor moveWithCells="1">
                  <from>
                    <xdr:col>4</xdr:col>
                    <xdr:colOff>0</xdr:colOff>
                    <xdr:row>513</xdr:row>
                    <xdr:rowOff>142875</xdr:rowOff>
                  </from>
                  <to>
                    <xdr:col>5</xdr:col>
                    <xdr:colOff>95250</xdr:colOff>
                    <xdr:row>515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1" name="Check Box 521">
              <controlPr defaultSize="0" autoFill="0" autoLine="0" autoPict="0">
                <anchor moveWithCells="1">
                  <from>
                    <xdr:col>4</xdr:col>
                    <xdr:colOff>0</xdr:colOff>
                    <xdr:row>514</xdr:row>
                    <xdr:rowOff>142875</xdr:rowOff>
                  </from>
                  <to>
                    <xdr:col>5</xdr:col>
                    <xdr:colOff>95250</xdr:colOff>
                    <xdr:row>516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2" name="Check Box 522">
              <controlPr defaultSize="0" autoFill="0" autoLine="0" autoPict="0">
                <anchor moveWithCells="1">
                  <from>
                    <xdr:col>4</xdr:col>
                    <xdr:colOff>0</xdr:colOff>
                    <xdr:row>515</xdr:row>
                    <xdr:rowOff>142875</xdr:rowOff>
                  </from>
                  <to>
                    <xdr:col>5</xdr:col>
                    <xdr:colOff>95250</xdr:colOff>
                    <xdr:row>517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3" name="Check Box 523">
              <controlPr defaultSize="0" autoFill="0" autoLine="0" autoPict="0">
                <anchor moveWithCells="1">
                  <from>
                    <xdr:col>4</xdr:col>
                    <xdr:colOff>0</xdr:colOff>
                    <xdr:row>516</xdr:row>
                    <xdr:rowOff>142875</xdr:rowOff>
                  </from>
                  <to>
                    <xdr:col>5</xdr:col>
                    <xdr:colOff>95250</xdr:colOff>
                    <xdr:row>518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4" name="Check Box 524">
              <controlPr defaultSize="0" autoFill="0" autoLine="0" autoPict="0">
                <anchor moveWithCells="1">
                  <from>
                    <xdr:col>4</xdr:col>
                    <xdr:colOff>0</xdr:colOff>
                    <xdr:row>517</xdr:row>
                    <xdr:rowOff>142875</xdr:rowOff>
                  </from>
                  <to>
                    <xdr:col>5</xdr:col>
                    <xdr:colOff>95250</xdr:colOff>
                    <xdr:row>519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5" name="Check Box 525">
              <controlPr defaultSize="0" autoFill="0" autoLine="0" autoPict="0">
                <anchor moveWithCells="1">
                  <from>
                    <xdr:col>4</xdr:col>
                    <xdr:colOff>0</xdr:colOff>
                    <xdr:row>518</xdr:row>
                    <xdr:rowOff>142875</xdr:rowOff>
                  </from>
                  <to>
                    <xdr:col>5</xdr:col>
                    <xdr:colOff>95250</xdr:colOff>
                    <xdr:row>520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6" name="Check Box 526">
              <controlPr defaultSize="0" autoFill="0" autoLine="0" autoPict="0">
                <anchor moveWithCells="1">
                  <from>
                    <xdr:col>4</xdr:col>
                    <xdr:colOff>0</xdr:colOff>
                    <xdr:row>519</xdr:row>
                    <xdr:rowOff>142875</xdr:rowOff>
                  </from>
                  <to>
                    <xdr:col>5</xdr:col>
                    <xdr:colOff>95250</xdr:colOff>
                    <xdr:row>521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7" name="Check Box 527">
              <controlPr defaultSize="0" autoFill="0" autoLine="0" autoPict="0">
                <anchor moveWithCells="1">
                  <from>
                    <xdr:col>4</xdr:col>
                    <xdr:colOff>0</xdr:colOff>
                    <xdr:row>520</xdr:row>
                    <xdr:rowOff>142875</xdr:rowOff>
                  </from>
                  <to>
                    <xdr:col>5</xdr:col>
                    <xdr:colOff>95250</xdr:colOff>
                    <xdr:row>522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8" name="Check Box 528">
              <controlPr defaultSize="0" autoFill="0" autoLine="0" autoPict="0">
                <anchor moveWithCells="1">
                  <from>
                    <xdr:col>4</xdr:col>
                    <xdr:colOff>0</xdr:colOff>
                    <xdr:row>521</xdr:row>
                    <xdr:rowOff>142875</xdr:rowOff>
                  </from>
                  <to>
                    <xdr:col>5</xdr:col>
                    <xdr:colOff>95250</xdr:colOff>
                    <xdr:row>523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9" name="Check Box 529">
              <controlPr defaultSize="0" autoFill="0" autoLine="0" autoPict="0">
                <anchor moveWithCells="1">
                  <from>
                    <xdr:col>4</xdr:col>
                    <xdr:colOff>0</xdr:colOff>
                    <xdr:row>522</xdr:row>
                    <xdr:rowOff>142875</xdr:rowOff>
                  </from>
                  <to>
                    <xdr:col>5</xdr:col>
                    <xdr:colOff>95250</xdr:colOff>
                    <xdr:row>524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0" name="Check Box 530">
              <controlPr defaultSize="0" autoFill="0" autoLine="0" autoPict="0">
                <anchor moveWithCells="1">
                  <from>
                    <xdr:col>4</xdr:col>
                    <xdr:colOff>0</xdr:colOff>
                    <xdr:row>523</xdr:row>
                    <xdr:rowOff>142875</xdr:rowOff>
                  </from>
                  <to>
                    <xdr:col>5</xdr:col>
                    <xdr:colOff>95250</xdr:colOff>
                    <xdr:row>525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1" name="Check Box 531">
              <controlPr defaultSize="0" autoFill="0" autoLine="0" autoPict="0">
                <anchor moveWithCells="1">
                  <from>
                    <xdr:col>4</xdr:col>
                    <xdr:colOff>0</xdr:colOff>
                    <xdr:row>524</xdr:row>
                    <xdr:rowOff>142875</xdr:rowOff>
                  </from>
                  <to>
                    <xdr:col>5</xdr:col>
                    <xdr:colOff>95250</xdr:colOff>
                    <xdr:row>526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2" name="Check Box 532">
              <controlPr defaultSize="0" autoFill="0" autoLine="0" autoPict="0">
                <anchor moveWithCells="1">
                  <from>
                    <xdr:col>4</xdr:col>
                    <xdr:colOff>0</xdr:colOff>
                    <xdr:row>525</xdr:row>
                    <xdr:rowOff>142875</xdr:rowOff>
                  </from>
                  <to>
                    <xdr:col>5</xdr:col>
                    <xdr:colOff>95250</xdr:colOff>
                    <xdr:row>527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3" name="Check Box 533">
              <controlPr defaultSize="0" autoFill="0" autoLine="0" autoPict="0">
                <anchor moveWithCells="1">
                  <from>
                    <xdr:col>4</xdr:col>
                    <xdr:colOff>0</xdr:colOff>
                    <xdr:row>526</xdr:row>
                    <xdr:rowOff>142875</xdr:rowOff>
                  </from>
                  <to>
                    <xdr:col>5</xdr:col>
                    <xdr:colOff>95250</xdr:colOff>
                    <xdr:row>528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4" name="Check Box 534">
              <controlPr defaultSize="0" autoFill="0" autoLine="0" autoPict="0">
                <anchor moveWithCells="1">
                  <from>
                    <xdr:col>4</xdr:col>
                    <xdr:colOff>0</xdr:colOff>
                    <xdr:row>527</xdr:row>
                    <xdr:rowOff>142875</xdr:rowOff>
                  </from>
                  <to>
                    <xdr:col>5</xdr:col>
                    <xdr:colOff>95250</xdr:colOff>
                    <xdr:row>529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5" name="Check Box 535">
              <controlPr defaultSize="0" autoFill="0" autoLine="0" autoPict="0">
                <anchor moveWithCells="1">
                  <from>
                    <xdr:col>4</xdr:col>
                    <xdr:colOff>0</xdr:colOff>
                    <xdr:row>528</xdr:row>
                    <xdr:rowOff>142875</xdr:rowOff>
                  </from>
                  <to>
                    <xdr:col>5</xdr:col>
                    <xdr:colOff>95250</xdr:colOff>
                    <xdr:row>530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6" name="Check Box 536">
              <controlPr defaultSize="0" autoFill="0" autoLine="0" autoPict="0">
                <anchor moveWithCells="1">
                  <from>
                    <xdr:col>4</xdr:col>
                    <xdr:colOff>0</xdr:colOff>
                    <xdr:row>529</xdr:row>
                    <xdr:rowOff>142875</xdr:rowOff>
                  </from>
                  <to>
                    <xdr:col>5</xdr:col>
                    <xdr:colOff>95250</xdr:colOff>
                    <xdr:row>531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7" name="Check Box 537">
              <controlPr defaultSize="0" autoFill="0" autoLine="0" autoPict="0">
                <anchor moveWithCells="1">
                  <from>
                    <xdr:col>4</xdr:col>
                    <xdr:colOff>0</xdr:colOff>
                    <xdr:row>530</xdr:row>
                    <xdr:rowOff>142875</xdr:rowOff>
                  </from>
                  <to>
                    <xdr:col>5</xdr:col>
                    <xdr:colOff>95250</xdr:colOff>
                    <xdr:row>532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8" name="Check Box 538">
              <controlPr defaultSize="0" autoFill="0" autoLine="0" autoPict="0">
                <anchor moveWithCells="1">
                  <from>
                    <xdr:col>4</xdr:col>
                    <xdr:colOff>0</xdr:colOff>
                    <xdr:row>531</xdr:row>
                    <xdr:rowOff>142875</xdr:rowOff>
                  </from>
                  <to>
                    <xdr:col>5</xdr:col>
                    <xdr:colOff>95250</xdr:colOff>
                    <xdr:row>533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9" name="Check Box 539">
              <controlPr defaultSize="0" autoFill="0" autoLine="0" autoPict="0">
                <anchor moveWithCells="1">
                  <from>
                    <xdr:col>4</xdr:col>
                    <xdr:colOff>0</xdr:colOff>
                    <xdr:row>532</xdr:row>
                    <xdr:rowOff>142875</xdr:rowOff>
                  </from>
                  <to>
                    <xdr:col>5</xdr:col>
                    <xdr:colOff>95250</xdr:colOff>
                    <xdr:row>534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0" name="Check Box 540">
              <controlPr defaultSize="0" autoFill="0" autoLine="0" autoPict="0">
                <anchor moveWithCells="1">
                  <from>
                    <xdr:col>4</xdr:col>
                    <xdr:colOff>0</xdr:colOff>
                    <xdr:row>533</xdr:row>
                    <xdr:rowOff>142875</xdr:rowOff>
                  </from>
                  <to>
                    <xdr:col>5</xdr:col>
                    <xdr:colOff>95250</xdr:colOff>
                    <xdr:row>535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1" name="Check Box 541">
              <controlPr defaultSize="0" autoFill="0" autoLine="0" autoPict="0">
                <anchor moveWithCells="1">
                  <from>
                    <xdr:col>4</xdr:col>
                    <xdr:colOff>0</xdr:colOff>
                    <xdr:row>534</xdr:row>
                    <xdr:rowOff>142875</xdr:rowOff>
                  </from>
                  <to>
                    <xdr:col>5</xdr:col>
                    <xdr:colOff>95250</xdr:colOff>
                    <xdr:row>536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2" name="Check Box 542">
              <controlPr defaultSize="0" autoFill="0" autoLine="0" autoPict="0">
                <anchor moveWithCells="1">
                  <from>
                    <xdr:col>4</xdr:col>
                    <xdr:colOff>0</xdr:colOff>
                    <xdr:row>535</xdr:row>
                    <xdr:rowOff>142875</xdr:rowOff>
                  </from>
                  <to>
                    <xdr:col>5</xdr:col>
                    <xdr:colOff>95250</xdr:colOff>
                    <xdr:row>537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3" name="Check Box 543">
              <controlPr defaultSize="0" autoFill="0" autoLine="0" autoPict="0">
                <anchor moveWithCells="1">
                  <from>
                    <xdr:col>4</xdr:col>
                    <xdr:colOff>0</xdr:colOff>
                    <xdr:row>536</xdr:row>
                    <xdr:rowOff>142875</xdr:rowOff>
                  </from>
                  <to>
                    <xdr:col>5</xdr:col>
                    <xdr:colOff>95250</xdr:colOff>
                    <xdr:row>538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4" name="Check Box 544">
              <controlPr defaultSize="0" autoFill="0" autoLine="0" autoPict="0">
                <anchor moveWithCells="1">
                  <from>
                    <xdr:col>4</xdr:col>
                    <xdr:colOff>0</xdr:colOff>
                    <xdr:row>537</xdr:row>
                    <xdr:rowOff>142875</xdr:rowOff>
                  </from>
                  <to>
                    <xdr:col>5</xdr:col>
                    <xdr:colOff>95250</xdr:colOff>
                    <xdr:row>539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5" name="Check Box 545">
              <controlPr defaultSize="0" autoFill="0" autoLine="0" autoPict="0">
                <anchor moveWithCells="1">
                  <from>
                    <xdr:col>4</xdr:col>
                    <xdr:colOff>0</xdr:colOff>
                    <xdr:row>538</xdr:row>
                    <xdr:rowOff>142875</xdr:rowOff>
                  </from>
                  <to>
                    <xdr:col>5</xdr:col>
                    <xdr:colOff>95250</xdr:colOff>
                    <xdr:row>540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6" name="Check Box 546">
              <controlPr defaultSize="0" autoFill="0" autoLine="0" autoPict="0">
                <anchor moveWithCells="1">
                  <from>
                    <xdr:col>4</xdr:col>
                    <xdr:colOff>0</xdr:colOff>
                    <xdr:row>539</xdr:row>
                    <xdr:rowOff>142875</xdr:rowOff>
                  </from>
                  <to>
                    <xdr:col>5</xdr:col>
                    <xdr:colOff>95250</xdr:colOff>
                    <xdr:row>541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7" name="Check Box 547">
              <controlPr defaultSize="0" autoFill="0" autoLine="0" autoPict="0">
                <anchor moveWithCells="1">
                  <from>
                    <xdr:col>4</xdr:col>
                    <xdr:colOff>0</xdr:colOff>
                    <xdr:row>540</xdr:row>
                    <xdr:rowOff>142875</xdr:rowOff>
                  </from>
                  <to>
                    <xdr:col>5</xdr:col>
                    <xdr:colOff>95250</xdr:colOff>
                    <xdr:row>542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8" name="Check Box 548">
              <controlPr defaultSize="0" autoFill="0" autoLine="0" autoPict="0">
                <anchor moveWithCells="1">
                  <from>
                    <xdr:col>4</xdr:col>
                    <xdr:colOff>0</xdr:colOff>
                    <xdr:row>541</xdr:row>
                    <xdr:rowOff>142875</xdr:rowOff>
                  </from>
                  <to>
                    <xdr:col>5</xdr:col>
                    <xdr:colOff>95250</xdr:colOff>
                    <xdr:row>543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9" name="Check Box 549">
              <controlPr defaultSize="0" autoFill="0" autoLine="0" autoPict="0">
                <anchor moveWithCells="1">
                  <from>
                    <xdr:col>4</xdr:col>
                    <xdr:colOff>0</xdr:colOff>
                    <xdr:row>542</xdr:row>
                    <xdr:rowOff>142875</xdr:rowOff>
                  </from>
                  <to>
                    <xdr:col>5</xdr:col>
                    <xdr:colOff>95250</xdr:colOff>
                    <xdr:row>544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0" name="Check Box 550">
              <controlPr defaultSize="0" autoFill="0" autoLine="0" autoPict="0">
                <anchor moveWithCells="1">
                  <from>
                    <xdr:col>4</xdr:col>
                    <xdr:colOff>0</xdr:colOff>
                    <xdr:row>543</xdr:row>
                    <xdr:rowOff>142875</xdr:rowOff>
                  </from>
                  <to>
                    <xdr:col>5</xdr:col>
                    <xdr:colOff>95250</xdr:colOff>
                    <xdr:row>545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1" name="Check Box 551">
              <controlPr defaultSize="0" autoFill="0" autoLine="0" autoPict="0">
                <anchor moveWithCells="1">
                  <from>
                    <xdr:col>4</xdr:col>
                    <xdr:colOff>0</xdr:colOff>
                    <xdr:row>544</xdr:row>
                    <xdr:rowOff>142875</xdr:rowOff>
                  </from>
                  <to>
                    <xdr:col>5</xdr:col>
                    <xdr:colOff>95250</xdr:colOff>
                    <xdr:row>546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2" name="Check Box 552">
              <controlPr defaultSize="0" autoFill="0" autoLine="0" autoPict="0">
                <anchor moveWithCells="1">
                  <from>
                    <xdr:col>4</xdr:col>
                    <xdr:colOff>0</xdr:colOff>
                    <xdr:row>545</xdr:row>
                    <xdr:rowOff>142875</xdr:rowOff>
                  </from>
                  <to>
                    <xdr:col>5</xdr:col>
                    <xdr:colOff>95250</xdr:colOff>
                    <xdr:row>547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3" name="Check Box 553">
              <controlPr defaultSize="0" autoFill="0" autoLine="0" autoPict="0">
                <anchor moveWithCells="1">
                  <from>
                    <xdr:col>4</xdr:col>
                    <xdr:colOff>0</xdr:colOff>
                    <xdr:row>546</xdr:row>
                    <xdr:rowOff>142875</xdr:rowOff>
                  </from>
                  <to>
                    <xdr:col>5</xdr:col>
                    <xdr:colOff>95250</xdr:colOff>
                    <xdr:row>548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4" name="Check Box 554">
              <controlPr defaultSize="0" autoFill="0" autoLine="0" autoPict="0">
                <anchor moveWithCells="1">
                  <from>
                    <xdr:col>4</xdr:col>
                    <xdr:colOff>0</xdr:colOff>
                    <xdr:row>547</xdr:row>
                    <xdr:rowOff>142875</xdr:rowOff>
                  </from>
                  <to>
                    <xdr:col>5</xdr:col>
                    <xdr:colOff>95250</xdr:colOff>
                    <xdr:row>549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5" name="Check Box 555">
              <controlPr defaultSize="0" autoFill="0" autoLine="0" autoPict="0">
                <anchor moveWithCells="1">
                  <from>
                    <xdr:col>4</xdr:col>
                    <xdr:colOff>0</xdr:colOff>
                    <xdr:row>548</xdr:row>
                    <xdr:rowOff>142875</xdr:rowOff>
                  </from>
                  <to>
                    <xdr:col>5</xdr:col>
                    <xdr:colOff>95250</xdr:colOff>
                    <xdr:row>550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6" name="Check Box 556">
              <controlPr defaultSize="0" autoFill="0" autoLine="0" autoPict="0">
                <anchor moveWithCells="1">
                  <from>
                    <xdr:col>4</xdr:col>
                    <xdr:colOff>0</xdr:colOff>
                    <xdr:row>549</xdr:row>
                    <xdr:rowOff>142875</xdr:rowOff>
                  </from>
                  <to>
                    <xdr:col>5</xdr:col>
                    <xdr:colOff>95250</xdr:colOff>
                    <xdr:row>551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7" name="Check Box 557">
              <controlPr defaultSize="0" autoFill="0" autoLine="0" autoPict="0">
                <anchor moveWithCells="1">
                  <from>
                    <xdr:col>4</xdr:col>
                    <xdr:colOff>0</xdr:colOff>
                    <xdr:row>550</xdr:row>
                    <xdr:rowOff>142875</xdr:rowOff>
                  </from>
                  <to>
                    <xdr:col>5</xdr:col>
                    <xdr:colOff>95250</xdr:colOff>
                    <xdr:row>552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8" name="Check Box 558">
              <controlPr defaultSize="0" autoFill="0" autoLine="0" autoPict="0">
                <anchor moveWithCells="1">
                  <from>
                    <xdr:col>4</xdr:col>
                    <xdr:colOff>0</xdr:colOff>
                    <xdr:row>551</xdr:row>
                    <xdr:rowOff>142875</xdr:rowOff>
                  </from>
                  <to>
                    <xdr:col>5</xdr:col>
                    <xdr:colOff>95250</xdr:colOff>
                    <xdr:row>553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9" name="Check Box 559">
              <controlPr defaultSize="0" autoFill="0" autoLine="0" autoPict="0">
                <anchor moveWithCells="1">
                  <from>
                    <xdr:col>4</xdr:col>
                    <xdr:colOff>0</xdr:colOff>
                    <xdr:row>552</xdr:row>
                    <xdr:rowOff>142875</xdr:rowOff>
                  </from>
                  <to>
                    <xdr:col>5</xdr:col>
                    <xdr:colOff>95250</xdr:colOff>
                    <xdr:row>554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0" name="Check Box 560">
              <controlPr defaultSize="0" autoFill="0" autoLine="0" autoPict="0">
                <anchor moveWithCells="1">
                  <from>
                    <xdr:col>4</xdr:col>
                    <xdr:colOff>0</xdr:colOff>
                    <xdr:row>553</xdr:row>
                    <xdr:rowOff>142875</xdr:rowOff>
                  </from>
                  <to>
                    <xdr:col>5</xdr:col>
                    <xdr:colOff>95250</xdr:colOff>
                    <xdr:row>555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1" name="Check Box 561">
              <controlPr defaultSize="0" autoFill="0" autoLine="0" autoPict="0">
                <anchor moveWithCells="1">
                  <from>
                    <xdr:col>4</xdr:col>
                    <xdr:colOff>0</xdr:colOff>
                    <xdr:row>554</xdr:row>
                    <xdr:rowOff>142875</xdr:rowOff>
                  </from>
                  <to>
                    <xdr:col>5</xdr:col>
                    <xdr:colOff>95250</xdr:colOff>
                    <xdr:row>556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2" name="Check Box 562">
              <controlPr defaultSize="0" autoFill="0" autoLine="0" autoPict="0">
                <anchor moveWithCells="1">
                  <from>
                    <xdr:col>4</xdr:col>
                    <xdr:colOff>0</xdr:colOff>
                    <xdr:row>555</xdr:row>
                    <xdr:rowOff>142875</xdr:rowOff>
                  </from>
                  <to>
                    <xdr:col>5</xdr:col>
                    <xdr:colOff>95250</xdr:colOff>
                    <xdr:row>557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3" name="Check Box 563">
              <controlPr defaultSize="0" autoFill="0" autoLine="0" autoPict="0">
                <anchor moveWithCells="1">
                  <from>
                    <xdr:col>4</xdr:col>
                    <xdr:colOff>0</xdr:colOff>
                    <xdr:row>556</xdr:row>
                    <xdr:rowOff>142875</xdr:rowOff>
                  </from>
                  <to>
                    <xdr:col>5</xdr:col>
                    <xdr:colOff>95250</xdr:colOff>
                    <xdr:row>558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4" name="Check Box 564">
              <controlPr defaultSize="0" autoFill="0" autoLine="0" autoPict="0">
                <anchor moveWithCells="1">
                  <from>
                    <xdr:col>4</xdr:col>
                    <xdr:colOff>0</xdr:colOff>
                    <xdr:row>557</xdr:row>
                    <xdr:rowOff>142875</xdr:rowOff>
                  </from>
                  <to>
                    <xdr:col>5</xdr:col>
                    <xdr:colOff>95250</xdr:colOff>
                    <xdr:row>559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5" name="Check Box 565">
              <controlPr defaultSize="0" autoFill="0" autoLine="0" autoPict="0">
                <anchor moveWithCells="1">
                  <from>
                    <xdr:col>4</xdr:col>
                    <xdr:colOff>0</xdr:colOff>
                    <xdr:row>558</xdr:row>
                    <xdr:rowOff>142875</xdr:rowOff>
                  </from>
                  <to>
                    <xdr:col>5</xdr:col>
                    <xdr:colOff>95250</xdr:colOff>
                    <xdr:row>560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6" name="Check Box 566">
              <controlPr defaultSize="0" autoFill="0" autoLine="0" autoPict="0">
                <anchor moveWithCells="1">
                  <from>
                    <xdr:col>4</xdr:col>
                    <xdr:colOff>0</xdr:colOff>
                    <xdr:row>559</xdr:row>
                    <xdr:rowOff>142875</xdr:rowOff>
                  </from>
                  <to>
                    <xdr:col>5</xdr:col>
                    <xdr:colOff>95250</xdr:colOff>
                    <xdr:row>561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7" name="Check Box 567">
              <controlPr defaultSize="0" autoFill="0" autoLine="0" autoPict="0">
                <anchor moveWithCells="1">
                  <from>
                    <xdr:col>4</xdr:col>
                    <xdr:colOff>0</xdr:colOff>
                    <xdr:row>560</xdr:row>
                    <xdr:rowOff>142875</xdr:rowOff>
                  </from>
                  <to>
                    <xdr:col>5</xdr:col>
                    <xdr:colOff>95250</xdr:colOff>
                    <xdr:row>562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8" name="Check Box 568">
              <controlPr defaultSize="0" autoFill="0" autoLine="0" autoPict="0">
                <anchor moveWithCells="1">
                  <from>
                    <xdr:col>4</xdr:col>
                    <xdr:colOff>0</xdr:colOff>
                    <xdr:row>561</xdr:row>
                    <xdr:rowOff>142875</xdr:rowOff>
                  </from>
                  <to>
                    <xdr:col>5</xdr:col>
                    <xdr:colOff>95250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9" name="Check Box 569">
              <controlPr defaultSize="0" autoFill="0" autoLine="0" autoPict="0">
                <anchor moveWithCells="1">
                  <from>
                    <xdr:col>4</xdr:col>
                    <xdr:colOff>0</xdr:colOff>
                    <xdr:row>562</xdr:row>
                    <xdr:rowOff>142875</xdr:rowOff>
                  </from>
                  <to>
                    <xdr:col>5</xdr:col>
                    <xdr:colOff>95250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0" name="Check Box 570">
              <controlPr defaultSize="0" autoFill="0" autoLine="0" autoPict="0">
                <anchor moveWithCells="1">
                  <from>
                    <xdr:col>4</xdr:col>
                    <xdr:colOff>0</xdr:colOff>
                    <xdr:row>563</xdr:row>
                    <xdr:rowOff>142875</xdr:rowOff>
                  </from>
                  <to>
                    <xdr:col>5</xdr:col>
                    <xdr:colOff>95250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1" name="Check Box 571">
              <controlPr defaultSize="0" autoFill="0" autoLine="0" autoPict="0">
                <anchor moveWithCells="1">
                  <from>
                    <xdr:col>4</xdr:col>
                    <xdr:colOff>0</xdr:colOff>
                    <xdr:row>564</xdr:row>
                    <xdr:rowOff>142875</xdr:rowOff>
                  </from>
                  <to>
                    <xdr:col>5</xdr:col>
                    <xdr:colOff>95250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2" name="Check Box 572">
              <controlPr defaultSize="0" autoFill="0" autoLine="0" autoPict="0">
                <anchor moveWithCells="1">
                  <from>
                    <xdr:col>4</xdr:col>
                    <xdr:colOff>0</xdr:colOff>
                    <xdr:row>565</xdr:row>
                    <xdr:rowOff>142875</xdr:rowOff>
                  </from>
                  <to>
                    <xdr:col>5</xdr:col>
                    <xdr:colOff>95250</xdr:colOff>
                    <xdr:row>567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3" name="Check Box 573">
              <controlPr defaultSize="0" autoFill="0" autoLine="0" autoPict="0">
                <anchor moveWithCells="1">
                  <from>
                    <xdr:col>4</xdr:col>
                    <xdr:colOff>0</xdr:colOff>
                    <xdr:row>566</xdr:row>
                    <xdr:rowOff>142875</xdr:rowOff>
                  </from>
                  <to>
                    <xdr:col>5</xdr:col>
                    <xdr:colOff>95250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4" name="Check Box 574">
              <controlPr defaultSize="0" autoFill="0" autoLine="0" autoPict="0">
                <anchor moveWithCells="1">
                  <from>
                    <xdr:col>4</xdr:col>
                    <xdr:colOff>0</xdr:colOff>
                    <xdr:row>567</xdr:row>
                    <xdr:rowOff>142875</xdr:rowOff>
                  </from>
                  <to>
                    <xdr:col>5</xdr:col>
                    <xdr:colOff>95250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5" name="Check Box 575">
              <controlPr defaultSize="0" autoFill="0" autoLine="0" autoPict="0">
                <anchor moveWithCells="1">
                  <from>
                    <xdr:col>4</xdr:col>
                    <xdr:colOff>0</xdr:colOff>
                    <xdr:row>568</xdr:row>
                    <xdr:rowOff>142875</xdr:rowOff>
                  </from>
                  <to>
                    <xdr:col>5</xdr:col>
                    <xdr:colOff>95250</xdr:colOff>
                    <xdr:row>570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6" name="Check Box 576">
              <controlPr defaultSize="0" autoFill="0" autoLine="0" autoPict="0">
                <anchor moveWithCells="1">
                  <from>
                    <xdr:col>4</xdr:col>
                    <xdr:colOff>0</xdr:colOff>
                    <xdr:row>569</xdr:row>
                    <xdr:rowOff>142875</xdr:rowOff>
                  </from>
                  <to>
                    <xdr:col>5</xdr:col>
                    <xdr:colOff>95250</xdr:colOff>
                    <xdr:row>571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7" name="Check Box 577">
              <controlPr defaultSize="0" autoFill="0" autoLine="0" autoPict="0">
                <anchor moveWithCells="1">
                  <from>
                    <xdr:col>4</xdr:col>
                    <xdr:colOff>0</xdr:colOff>
                    <xdr:row>570</xdr:row>
                    <xdr:rowOff>142875</xdr:rowOff>
                  </from>
                  <to>
                    <xdr:col>5</xdr:col>
                    <xdr:colOff>95250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78" name="Check Box 578">
              <controlPr defaultSize="0" autoFill="0" autoLine="0" autoPict="0">
                <anchor moveWithCells="1">
                  <from>
                    <xdr:col>4</xdr:col>
                    <xdr:colOff>0</xdr:colOff>
                    <xdr:row>571</xdr:row>
                    <xdr:rowOff>142875</xdr:rowOff>
                  </from>
                  <to>
                    <xdr:col>5</xdr:col>
                    <xdr:colOff>95250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79" name="Check Box 579">
              <controlPr defaultSize="0" autoFill="0" autoLine="0" autoPict="0">
                <anchor moveWithCells="1">
                  <from>
                    <xdr:col>4</xdr:col>
                    <xdr:colOff>0</xdr:colOff>
                    <xdr:row>572</xdr:row>
                    <xdr:rowOff>142875</xdr:rowOff>
                  </from>
                  <to>
                    <xdr:col>5</xdr:col>
                    <xdr:colOff>95250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0" name="Check Box 580">
              <controlPr defaultSize="0" autoFill="0" autoLine="0" autoPict="0">
                <anchor moveWithCells="1">
                  <from>
                    <xdr:col>4</xdr:col>
                    <xdr:colOff>0</xdr:colOff>
                    <xdr:row>573</xdr:row>
                    <xdr:rowOff>142875</xdr:rowOff>
                  </from>
                  <to>
                    <xdr:col>5</xdr:col>
                    <xdr:colOff>95250</xdr:colOff>
                    <xdr:row>575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1" name="Check Box 581">
              <controlPr defaultSize="0" autoFill="0" autoLine="0" autoPict="0">
                <anchor moveWithCells="1">
                  <from>
                    <xdr:col>4</xdr:col>
                    <xdr:colOff>0</xdr:colOff>
                    <xdr:row>574</xdr:row>
                    <xdr:rowOff>142875</xdr:rowOff>
                  </from>
                  <to>
                    <xdr:col>5</xdr:col>
                    <xdr:colOff>95250</xdr:colOff>
                    <xdr:row>576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2" name="Check Box 582">
              <controlPr defaultSize="0" autoFill="0" autoLine="0" autoPict="0">
                <anchor moveWithCells="1">
                  <from>
                    <xdr:col>4</xdr:col>
                    <xdr:colOff>0</xdr:colOff>
                    <xdr:row>575</xdr:row>
                    <xdr:rowOff>142875</xdr:rowOff>
                  </from>
                  <to>
                    <xdr:col>5</xdr:col>
                    <xdr:colOff>95250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3" name="Check Box 583">
              <controlPr defaultSize="0" autoFill="0" autoLine="0" autoPict="0">
                <anchor moveWithCells="1">
                  <from>
                    <xdr:col>4</xdr:col>
                    <xdr:colOff>0</xdr:colOff>
                    <xdr:row>576</xdr:row>
                    <xdr:rowOff>142875</xdr:rowOff>
                  </from>
                  <to>
                    <xdr:col>5</xdr:col>
                    <xdr:colOff>95250</xdr:colOff>
                    <xdr:row>578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4" name="Check Box 584">
              <controlPr defaultSize="0" autoFill="0" autoLine="0" autoPict="0">
                <anchor moveWithCells="1">
                  <from>
                    <xdr:col>4</xdr:col>
                    <xdr:colOff>0</xdr:colOff>
                    <xdr:row>577</xdr:row>
                    <xdr:rowOff>142875</xdr:rowOff>
                  </from>
                  <to>
                    <xdr:col>5</xdr:col>
                    <xdr:colOff>95250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5" name="Check Box 585">
              <controlPr defaultSize="0" autoFill="0" autoLine="0" autoPict="0">
                <anchor moveWithCells="1">
                  <from>
                    <xdr:col>4</xdr:col>
                    <xdr:colOff>0</xdr:colOff>
                    <xdr:row>578</xdr:row>
                    <xdr:rowOff>142875</xdr:rowOff>
                  </from>
                  <to>
                    <xdr:col>5</xdr:col>
                    <xdr:colOff>95250</xdr:colOff>
                    <xdr:row>580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6" name="Check Box 586">
              <controlPr defaultSize="0" autoFill="0" autoLine="0" autoPict="0">
                <anchor moveWithCells="1">
                  <from>
                    <xdr:col>4</xdr:col>
                    <xdr:colOff>0</xdr:colOff>
                    <xdr:row>579</xdr:row>
                    <xdr:rowOff>142875</xdr:rowOff>
                  </from>
                  <to>
                    <xdr:col>5</xdr:col>
                    <xdr:colOff>95250</xdr:colOff>
                    <xdr:row>581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7" name="Check Box 587">
              <controlPr defaultSize="0" autoFill="0" autoLine="0" autoPict="0">
                <anchor moveWithCells="1">
                  <from>
                    <xdr:col>4</xdr:col>
                    <xdr:colOff>0</xdr:colOff>
                    <xdr:row>580</xdr:row>
                    <xdr:rowOff>142875</xdr:rowOff>
                  </from>
                  <to>
                    <xdr:col>5</xdr:col>
                    <xdr:colOff>95250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88" name="Check Box 588">
              <controlPr defaultSize="0" autoFill="0" autoLine="0" autoPict="0">
                <anchor moveWithCells="1">
                  <from>
                    <xdr:col>4</xdr:col>
                    <xdr:colOff>0</xdr:colOff>
                    <xdr:row>581</xdr:row>
                    <xdr:rowOff>142875</xdr:rowOff>
                  </from>
                  <to>
                    <xdr:col>5</xdr:col>
                    <xdr:colOff>95250</xdr:colOff>
                    <xdr:row>583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89" name="Check Box 589">
              <controlPr defaultSize="0" autoFill="0" autoLine="0" autoPict="0">
                <anchor moveWithCells="1">
                  <from>
                    <xdr:col>4</xdr:col>
                    <xdr:colOff>0</xdr:colOff>
                    <xdr:row>582</xdr:row>
                    <xdr:rowOff>142875</xdr:rowOff>
                  </from>
                  <to>
                    <xdr:col>5</xdr:col>
                    <xdr:colOff>95250</xdr:colOff>
                    <xdr:row>584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0" name="Check Box 590">
              <controlPr defaultSize="0" autoFill="0" autoLine="0" autoPict="0">
                <anchor moveWithCells="1">
                  <from>
                    <xdr:col>4</xdr:col>
                    <xdr:colOff>0</xdr:colOff>
                    <xdr:row>583</xdr:row>
                    <xdr:rowOff>142875</xdr:rowOff>
                  </from>
                  <to>
                    <xdr:col>5</xdr:col>
                    <xdr:colOff>95250</xdr:colOff>
                    <xdr:row>585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1" name="Check Box 591">
              <controlPr defaultSize="0" autoFill="0" autoLine="0" autoPict="0">
                <anchor moveWithCells="1">
                  <from>
                    <xdr:col>4</xdr:col>
                    <xdr:colOff>0</xdr:colOff>
                    <xdr:row>584</xdr:row>
                    <xdr:rowOff>142875</xdr:rowOff>
                  </from>
                  <to>
                    <xdr:col>5</xdr:col>
                    <xdr:colOff>95250</xdr:colOff>
                    <xdr:row>586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2" name="Check Box 592">
              <controlPr defaultSize="0" autoFill="0" autoLine="0" autoPict="0">
                <anchor moveWithCells="1">
                  <from>
                    <xdr:col>4</xdr:col>
                    <xdr:colOff>0</xdr:colOff>
                    <xdr:row>585</xdr:row>
                    <xdr:rowOff>142875</xdr:rowOff>
                  </from>
                  <to>
                    <xdr:col>5</xdr:col>
                    <xdr:colOff>95250</xdr:colOff>
                    <xdr:row>587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3" name="Check Box 593">
              <controlPr defaultSize="0" autoFill="0" autoLine="0" autoPict="0">
                <anchor moveWithCells="1">
                  <from>
                    <xdr:col>4</xdr:col>
                    <xdr:colOff>0</xdr:colOff>
                    <xdr:row>586</xdr:row>
                    <xdr:rowOff>142875</xdr:rowOff>
                  </from>
                  <to>
                    <xdr:col>5</xdr:col>
                    <xdr:colOff>95250</xdr:colOff>
                    <xdr:row>588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4" name="Check Box 594">
              <controlPr defaultSize="0" autoFill="0" autoLine="0" autoPict="0">
                <anchor moveWithCells="1">
                  <from>
                    <xdr:col>4</xdr:col>
                    <xdr:colOff>0</xdr:colOff>
                    <xdr:row>587</xdr:row>
                    <xdr:rowOff>142875</xdr:rowOff>
                  </from>
                  <to>
                    <xdr:col>5</xdr:col>
                    <xdr:colOff>95250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5" name="Check Box 595">
              <controlPr defaultSize="0" autoFill="0" autoLine="0" autoPict="0">
                <anchor moveWithCells="1">
                  <from>
                    <xdr:col>4</xdr:col>
                    <xdr:colOff>0</xdr:colOff>
                    <xdr:row>588</xdr:row>
                    <xdr:rowOff>142875</xdr:rowOff>
                  </from>
                  <to>
                    <xdr:col>5</xdr:col>
                    <xdr:colOff>95250</xdr:colOff>
                    <xdr:row>590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6" name="Check Box 596">
              <controlPr defaultSize="0" autoFill="0" autoLine="0" autoPict="0">
                <anchor moveWithCells="1">
                  <from>
                    <xdr:col>4</xdr:col>
                    <xdr:colOff>0</xdr:colOff>
                    <xdr:row>589</xdr:row>
                    <xdr:rowOff>142875</xdr:rowOff>
                  </from>
                  <to>
                    <xdr:col>5</xdr:col>
                    <xdr:colOff>95250</xdr:colOff>
                    <xdr:row>591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7" name="Check Box 597">
              <controlPr defaultSize="0" autoFill="0" autoLine="0" autoPict="0">
                <anchor moveWithCells="1">
                  <from>
                    <xdr:col>4</xdr:col>
                    <xdr:colOff>0</xdr:colOff>
                    <xdr:row>590</xdr:row>
                    <xdr:rowOff>142875</xdr:rowOff>
                  </from>
                  <to>
                    <xdr:col>5</xdr:col>
                    <xdr:colOff>95250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98" name="Check Box 598">
              <controlPr defaultSize="0" autoFill="0" autoLine="0" autoPict="0">
                <anchor moveWithCells="1">
                  <from>
                    <xdr:col>4</xdr:col>
                    <xdr:colOff>0</xdr:colOff>
                    <xdr:row>591</xdr:row>
                    <xdr:rowOff>142875</xdr:rowOff>
                  </from>
                  <to>
                    <xdr:col>5</xdr:col>
                    <xdr:colOff>95250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99" name="Check Box 599">
              <controlPr defaultSize="0" autoFill="0" autoLine="0" autoPict="0">
                <anchor moveWithCells="1">
                  <from>
                    <xdr:col>4</xdr:col>
                    <xdr:colOff>0</xdr:colOff>
                    <xdr:row>592</xdr:row>
                    <xdr:rowOff>142875</xdr:rowOff>
                  </from>
                  <to>
                    <xdr:col>5</xdr:col>
                    <xdr:colOff>95250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0" name="Check Box 600">
              <controlPr defaultSize="0" autoFill="0" autoLine="0" autoPict="0">
                <anchor moveWithCells="1">
                  <from>
                    <xdr:col>4</xdr:col>
                    <xdr:colOff>0</xdr:colOff>
                    <xdr:row>593</xdr:row>
                    <xdr:rowOff>142875</xdr:rowOff>
                  </from>
                  <to>
                    <xdr:col>5</xdr:col>
                    <xdr:colOff>95250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1" name="Check Box 601">
              <controlPr defaultSize="0" autoFill="0" autoLine="0" autoPict="0">
                <anchor moveWithCells="1">
                  <from>
                    <xdr:col>4</xdr:col>
                    <xdr:colOff>0</xdr:colOff>
                    <xdr:row>594</xdr:row>
                    <xdr:rowOff>142875</xdr:rowOff>
                  </from>
                  <to>
                    <xdr:col>5</xdr:col>
                    <xdr:colOff>95250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2" name="Check Box 602">
              <controlPr defaultSize="0" autoFill="0" autoLine="0" autoPict="0">
                <anchor moveWithCells="1">
                  <from>
                    <xdr:col>4</xdr:col>
                    <xdr:colOff>0</xdr:colOff>
                    <xdr:row>595</xdr:row>
                    <xdr:rowOff>142875</xdr:rowOff>
                  </from>
                  <to>
                    <xdr:col>5</xdr:col>
                    <xdr:colOff>95250</xdr:colOff>
                    <xdr:row>597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3" name="Check Box 603">
              <controlPr defaultSize="0" autoFill="0" autoLine="0" autoPict="0">
                <anchor moveWithCells="1">
                  <from>
                    <xdr:col>4</xdr:col>
                    <xdr:colOff>0</xdr:colOff>
                    <xdr:row>596</xdr:row>
                    <xdr:rowOff>142875</xdr:rowOff>
                  </from>
                  <to>
                    <xdr:col>5</xdr:col>
                    <xdr:colOff>95250</xdr:colOff>
                    <xdr:row>598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4" name="Check Box 604">
              <controlPr defaultSize="0" autoFill="0" autoLine="0" autoPict="0">
                <anchor moveWithCells="1">
                  <from>
                    <xdr:col>4</xdr:col>
                    <xdr:colOff>0</xdr:colOff>
                    <xdr:row>597</xdr:row>
                    <xdr:rowOff>142875</xdr:rowOff>
                  </from>
                  <to>
                    <xdr:col>5</xdr:col>
                    <xdr:colOff>95250</xdr:colOff>
                    <xdr:row>599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5" name="Check Box 605">
              <controlPr defaultSize="0" autoFill="0" autoLine="0" autoPict="0">
                <anchor moveWithCells="1">
                  <from>
                    <xdr:col>4</xdr:col>
                    <xdr:colOff>0</xdr:colOff>
                    <xdr:row>598</xdr:row>
                    <xdr:rowOff>142875</xdr:rowOff>
                  </from>
                  <to>
                    <xdr:col>5</xdr:col>
                    <xdr:colOff>95250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6" name="Check Box 606">
              <controlPr defaultSize="0" autoFill="0" autoLine="0" autoPict="0">
                <anchor moveWithCells="1">
                  <from>
                    <xdr:col>4</xdr:col>
                    <xdr:colOff>0</xdr:colOff>
                    <xdr:row>599</xdr:row>
                    <xdr:rowOff>142875</xdr:rowOff>
                  </from>
                  <to>
                    <xdr:col>5</xdr:col>
                    <xdr:colOff>95250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7" name="Check Box 607">
              <controlPr defaultSize="0" autoFill="0" autoLine="0" autoPict="0">
                <anchor moveWithCells="1">
                  <from>
                    <xdr:col>4</xdr:col>
                    <xdr:colOff>0</xdr:colOff>
                    <xdr:row>600</xdr:row>
                    <xdr:rowOff>142875</xdr:rowOff>
                  </from>
                  <to>
                    <xdr:col>5</xdr:col>
                    <xdr:colOff>95250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08" name="Check Box 608">
              <controlPr defaultSize="0" autoFill="0" autoLine="0" autoPict="0">
                <anchor moveWithCells="1">
                  <from>
                    <xdr:col>4</xdr:col>
                    <xdr:colOff>0</xdr:colOff>
                    <xdr:row>601</xdr:row>
                    <xdr:rowOff>142875</xdr:rowOff>
                  </from>
                  <to>
                    <xdr:col>5</xdr:col>
                    <xdr:colOff>95250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09" name="Check Box 609">
              <controlPr defaultSize="0" autoFill="0" autoLine="0" autoPict="0">
                <anchor moveWithCells="1">
                  <from>
                    <xdr:col>4</xdr:col>
                    <xdr:colOff>0</xdr:colOff>
                    <xdr:row>602</xdr:row>
                    <xdr:rowOff>142875</xdr:rowOff>
                  </from>
                  <to>
                    <xdr:col>5</xdr:col>
                    <xdr:colOff>95250</xdr:colOff>
                    <xdr:row>604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0" name="Check Box 610">
              <controlPr defaultSize="0" autoFill="0" autoLine="0" autoPict="0">
                <anchor moveWithCells="1">
                  <from>
                    <xdr:col>4</xdr:col>
                    <xdr:colOff>0</xdr:colOff>
                    <xdr:row>603</xdr:row>
                    <xdr:rowOff>142875</xdr:rowOff>
                  </from>
                  <to>
                    <xdr:col>5</xdr:col>
                    <xdr:colOff>95250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1" name="Check Box 611">
              <controlPr defaultSize="0" autoFill="0" autoLine="0" autoPict="0">
                <anchor moveWithCells="1">
                  <from>
                    <xdr:col>4</xdr:col>
                    <xdr:colOff>0</xdr:colOff>
                    <xdr:row>604</xdr:row>
                    <xdr:rowOff>142875</xdr:rowOff>
                  </from>
                  <to>
                    <xdr:col>5</xdr:col>
                    <xdr:colOff>95250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2" name="Check Box 612">
              <controlPr defaultSize="0" autoFill="0" autoLine="0" autoPict="0">
                <anchor moveWithCells="1">
                  <from>
                    <xdr:col>4</xdr:col>
                    <xdr:colOff>0</xdr:colOff>
                    <xdr:row>605</xdr:row>
                    <xdr:rowOff>142875</xdr:rowOff>
                  </from>
                  <to>
                    <xdr:col>5</xdr:col>
                    <xdr:colOff>95250</xdr:colOff>
                    <xdr:row>607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3" name="Check Box 613">
              <controlPr defaultSize="0" autoFill="0" autoLine="0" autoPict="0">
                <anchor moveWithCells="1">
                  <from>
                    <xdr:col>4</xdr:col>
                    <xdr:colOff>0</xdr:colOff>
                    <xdr:row>606</xdr:row>
                    <xdr:rowOff>142875</xdr:rowOff>
                  </from>
                  <to>
                    <xdr:col>5</xdr:col>
                    <xdr:colOff>95250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4" name="Check Box 614">
              <controlPr defaultSize="0" autoFill="0" autoLine="0" autoPict="0">
                <anchor moveWithCells="1">
                  <from>
                    <xdr:col>4</xdr:col>
                    <xdr:colOff>0</xdr:colOff>
                    <xdr:row>607</xdr:row>
                    <xdr:rowOff>142875</xdr:rowOff>
                  </from>
                  <to>
                    <xdr:col>5</xdr:col>
                    <xdr:colOff>95250</xdr:colOff>
                    <xdr:row>609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5" name="Check Box 615">
              <controlPr defaultSize="0" autoFill="0" autoLine="0" autoPict="0">
                <anchor moveWithCells="1">
                  <from>
                    <xdr:col>4</xdr:col>
                    <xdr:colOff>0</xdr:colOff>
                    <xdr:row>608</xdr:row>
                    <xdr:rowOff>142875</xdr:rowOff>
                  </from>
                  <to>
                    <xdr:col>5</xdr:col>
                    <xdr:colOff>95250</xdr:colOff>
                    <xdr:row>610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6" name="Check Box 616">
              <controlPr defaultSize="0" autoFill="0" autoLine="0" autoPict="0">
                <anchor moveWithCells="1">
                  <from>
                    <xdr:col>4</xdr:col>
                    <xdr:colOff>0</xdr:colOff>
                    <xdr:row>609</xdr:row>
                    <xdr:rowOff>142875</xdr:rowOff>
                  </from>
                  <to>
                    <xdr:col>5</xdr:col>
                    <xdr:colOff>95250</xdr:colOff>
                    <xdr:row>611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7" name="Check Box 617">
              <controlPr defaultSize="0" autoFill="0" autoLine="0" autoPict="0">
                <anchor moveWithCells="1">
                  <from>
                    <xdr:col>4</xdr:col>
                    <xdr:colOff>0</xdr:colOff>
                    <xdr:row>610</xdr:row>
                    <xdr:rowOff>142875</xdr:rowOff>
                  </from>
                  <to>
                    <xdr:col>5</xdr:col>
                    <xdr:colOff>95250</xdr:colOff>
                    <xdr:row>612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18" name="Check Box 618">
              <controlPr defaultSize="0" autoFill="0" autoLine="0" autoPict="0">
                <anchor moveWithCells="1">
                  <from>
                    <xdr:col>4</xdr:col>
                    <xdr:colOff>0</xdr:colOff>
                    <xdr:row>611</xdr:row>
                    <xdr:rowOff>142875</xdr:rowOff>
                  </from>
                  <to>
                    <xdr:col>5</xdr:col>
                    <xdr:colOff>95250</xdr:colOff>
                    <xdr:row>613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19" name="Check Box 619">
              <controlPr defaultSize="0" autoFill="0" autoLine="0" autoPict="0">
                <anchor moveWithCells="1">
                  <from>
                    <xdr:col>4</xdr:col>
                    <xdr:colOff>0</xdr:colOff>
                    <xdr:row>612</xdr:row>
                    <xdr:rowOff>142875</xdr:rowOff>
                  </from>
                  <to>
                    <xdr:col>5</xdr:col>
                    <xdr:colOff>95250</xdr:colOff>
                    <xdr:row>614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0" name="Check Box 620">
              <controlPr defaultSize="0" autoFill="0" autoLine="0" autoPict="0">
                <anchor moveWithCells="1">
                  <from>
                    <xdr:col>4</xdr:col>
                    <xdr:colOff>0</xdr:colOff>
                    <xdr:row>613</xdr:row>
                    <xdr:rowOff>142875</xdr:rowOff>
                  </from>
                  <to>
                    <xdr:col>5</xdr:col>
                    <xdr:colOff>95250</xdr:colOff>
                    <xdr:row>615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1" name="Check Box 621">
              <controlPr defaultSize="0" autoFill="0" autoLine="0" autoPict="0">
                <anchor moveWithCells="1">
                  <from>
                    <xdr:col>4</xdr:col>
                    <xdr:colOff>0</xdr:colOff>
                    <xdr:row>614</xdr:row>
                    <xdr:rowOff>142875</xdr:rowOff>
                  </from>
                  <to>
                    <xdr:col>5</xdr:col>
                    <xdr:colOff>95250</xdr:colOff>
                    <xdr:row>616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2" name="Check Box 622">
              <controlPr defaultSize="0" autoFill="0" autoLine="0" autoPict="0">
                <anchor moveWithCells="1">
                  <from>
                    <xdr:col>4</xdr:col>
                    <xdr:colOff>0</xdr:colOff>
                    <xdr:row>615</xdr:row>
                    <xdr:rowOff>142875</xdr:rowOff>
                  </from>
                  <to>
                    <xdr:col>5</xdr:col>
                    <xdr:colOff>95250</xdr:colOff>
                    <xdr:row>617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3" name="Check Box 623">
              <controlPr defaultSize="0" autoFill="0" autoLine="0" autoPict="0">
                <anchor moveWithCells="1">
                  <from>
                    <xdr:col>4</xdr:col>
                    <xdr:colOff>0</xdr:colOff>
                    <xdr:row>616</xdr:row>
                    <xdr:rowOff>142875</xdr:rowOff>
                  </from>
                  <to>
                    <xdr:col>5</xdr:col>
                    <xdr:colOff>95250</xdr:colOff>
                    <xdr:row>618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4" name="Check Box 624">
              <controlPr defaultSize="0" autoFill="0" autoLine="0" autoPict="0">
                <anchor moveWithCells="1">
                  <from>
                    <xdr:col>4</xdr:col>
                    <xdr:colOff>0</xdr:colOff>
                    <xdr:row>617</xdr:row>
                    <xdr:rowOff>142875</xdr:rowOff>
                  </from>
                  <to>
                    <xdr:col>5</xdr:col>
                    <xdr:colOff>95250</xdr:colOff>
                    <xdr:row>619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5" name="Check Box 625">
              <controlPr defaultSize="0" autoFill="0" autoLine="0" autoPict="0">
                <anchor moveWithCells="1">
                  <from>
                    <xdr:col>4</xdr:col>
                    <xdr:colOff>0</xdr:colOff>
                    <xdr:row>618</xdr:row>
                    <xdr:rowOff>142875</xdr:rowOff>
                  </from>
                  <to>
                    <xdr:col>5</xdr:col>
                    <xdr:colOff>95250</xdr:colOff>
                    <xdr:row>620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6" name="Check Box 626">
              <controlPr defaultSize="0" autoFill="0" autoLine="0" autoPict="0">
                <anchor moveWithCells="1">
                  <from>
                    <xdr:col>4</xdr:col>
                    <xdr:colOff>0</xdr:colOff>
                    <xdr:row>619</xdr:row>
                    <xdr:rowOff>142875</xdr:rowOff>
                  </from>
                  <to>
                    <xdr:col>5</xdr:col>
                    <xdr:colOff>95250</xdr:colOff>
                    <xdr:row>621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7" name="Check Box 627">
              <controlPr defaultSize="0" autoFill="0" autoLine="0" autoPict="0">
                <anchor moveWithCells="1">
                  <from>
                    <xdr:col>4</xdr:col>
                    <xdr:colOff>0</xdr:colOff>
                    <xdr:row>620</xdr:row>
                    <xdr:rowOff>142875</xdr:rowOff>
                  </from>
                  <to>
                    <xdr:col>5</xdr:col>
                    <xdr:colOff>95250</xdr:colOff>
                    <xdr:row>622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28" name="Check Box 628">
              <controlPr defaultSize="0" autoFill="0" autoLine="0" autoPict="0">
                <anchor moveWithCells="1">
                  <from>
                    <xdr:col>4</xdr:col>
                    <xdr:colOff>0</xdr:colOff>
                    <xdr:row>621</xdr:row>
                    <xdr:rowOff>142875</xdr:rowOff>
                  </from>
                  <to>
                    <xdr:col>5</xdr:col>
                    <xdr:colOff>95250</xdr:colOff>
                    <xdr:row>623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29" name="Check Box 629">
              <controlPr defaultSize="0" autoFill="0" autoLine="0" autoPict="0">
                <anchor moveWithCells="1">
                  <from>
                    <xdr:col>4</xdr:col>
                    <xdr:colOff>0</xdr:colOff>
                    <xdr:row>622</xdr:row>
                    <xdr:rowOff>142875</xdr:rowOff>
                  </from>
                  <to>
                    <xdr:col>5</xdr:col>
                    <xdr:colOff>95250</xdr:colOff>
                    <xdr:row>624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0" name="Check Box 630">
              <controlPr defaultSize="0" autoFill="0" autoLine="0" autoPict="0">
                <anchor moveWithCells="1">
                  <from>
                    <xdr:col>4</xdr:col>
                    <xdr:colOff>0</xdr:colOff>
                    <xdr:row>623</xdr:row>
                    <xdr:rowOff>142875</xdr:rowOff>
                  </from>
                  <to>
                    <xdr:col>5</xdr:col>
                    <xdr:colOff>95250</xdr:colOff>
                    <xdr:row>625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1" name="Check Box 631">
              <controlPr defaultSize="0" autoFill="0" autoLine="0" autoPict="0">
                <anchor moveWithCells="1">
                  <from>
                    <xdr:col>4</xdr:col>
                    <xdr:colOff>0</xdr:colOff>
                    <xdr:row>624</xdr:row>
                    <xdr:rowOff>142875</xdr:rowOff>
                  </from>
                  <to>
                    <xdr:col>5</xdr:col>
                    <xdr:colOff>95250</xdr:colOff>
                    <xdr:row>626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2" name="Check Box 632">
              <controlPr defaultSize="0" autoFill="0" autoLine="0" autoPict="0">
                <anchor moveWithCells="1">
                  <from>
                    <xdr:col>4</xdr:col>
                    <xdr:colOff>0</xdr:colOff>
                    <xdr:row>625</xdr:row>
                    <xdr:rowOff>142875</xdr:rowOff>
                  </from>
                  <to>
                    <xdr:col>5</xdr:col>
                    <xdr:colOff>95250</xdr:colOff>
                    <xdr:row>627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3" name="Check Box 633">
              <controlPr defaultSize="0" autoFill="0" autoLine="0" autoPict="0">
                <anchor moveWithCells="1">
                  <from>
                    <xdr:col>4</xdr:col>
                    <xdr:colOff>0</xdr:colOff>
                    <xdr:row>626</xdr:row>
                    <xdr:rowOff>142875</xdr:rowOff>
                  </from>
                  <to>
                    <xdr:col>5</xdr:col>
                    <xdr:colOff>95250</xdr:colOff>
                    <xdr:row>628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4" name="Check Box 634">
              <controlPr defaultSize="0" autoFill="0" autoLine="0" autoPict="0">
                <anchor moveWithCells="1">
                  <from>
                    <xdr:col>4</xdr:col>
                    <xdr:colOff>0</xdr:colOff>
                    <xdr:row>627</xdr:row>
                    <xdr:rowOff>142875</xdr:rowOff>
                  </from>
                  <to>
                    <xdr:col>5</xdr:col>
                    <xdr:colOff>95250</xdr:colOff>
                    <xdr:row>629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5" name="Check Box 635">
              <controlPr defaultSize="0" autoFill="0" autoLine="0" autoPict="0">
                <anchor moveWithCells="1">
                  <from>
                    <xdr:col>4</xdr:col>
                    <xdr:colOff>0</xdr:colOff>
                    <xdr:row>628</xdr:row>
                    <xdr:rowOff>142875</xdr:rowOff>
                  </from>
                  <to>
                    <xdr:col>5</xdr:col>
                    <xdr:colOff>95250</xdr:colOff>
                    <xdr:row>630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6" name="Check Box 636">
              <controlPr defaultSize="0" autoFill="0" autoLine="0" autoPict="0">
                <anchor moveWithCells="1">
                  <from>
                    <xdr:col>4</xdr:col>
                    <xdr:colOff>0</xdr:colOff>
                    <xdr:row>629</xdr:row>
                    <xdr:rowOff>142875</xdr:rowOff>
                  </from>
                  <to>
                    <xdr:col>5</xdr:col>
                    <xdr:colOff>95250</xdr:colOff>
                    <xdr:row>631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7" name="Check Box 637">
              <controlPr defaultSize="0" autoFill="0" autoLine="0" autoPict="0">
                <anchor moveWithCells="1">
                  <from>
                    <xdr:col>4</xdr:col>
                    <xdr:colOff>0</xdr:colOff>
                    <xdr:row>630</xdr:row>
                    <xdr:rowOff>142875</xdr:rowOff>
                  </from>
                  <to>
                    <xdr:col>5</xdr:col>
                    <xdr:colOff>95250</xdr:colOff>
                    <xdr:row>632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38" name="Check Box 638">
              <controlPr defaultSize="0" autoFill="0" autoLine="0" autoPict="0">
                <anchor moveWithCells="1">
                  <from>
                    <xdr:col>4</xdr:col>
                    <xdr:colOff>0</xdr:colOff>
                    <xdr:row>631</xdr:row>
                    <xdr:rowOff>142875</xdr:rowOff>
                  </from>
                  <to>
                    <xdr:col>5</xdr:col>
                    <xdr:colOff>95250</xdr:colOff>
                    <xdr:row>633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39" name="Check Box 639">
              <controlPr defaultSize="0" autoFill="0" autoLine="0" autoPict="0">
                <anchor moveWithCells="1">
                  <from>
                    <xdr:col>4</xdr:col>
                    <xdr:colOff>0</xdr:colOff>
                    <xdr:row>632</xdr:row>
                    <xdr:rowOff>142875</xdr:rowOff>
                  </from>
                  <to>
                    <xdr:col>5</xdr:col>
                    <xdr:colOff>95250</xdr:colOff>
                    <xdr:row>634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0" name="Check Box 640">
              <controlPr defaultSize="0" autoFill="0" autoLine="0" autoPict="0">
                <anchor moveWithCells="1">
                  <from>
                    <xdr:col>4</xdr:col>
                    <xdr:colOff>0</xdr:colOff>
                    <xdr:row>633</xdr:row>
                    <xdr:rowOff>142875</xdr:rowOff>
                  </from>
                  <to>
                    <xdr:col>5</xdr:col>
                    <xdr:colOff>95250</xdr:colOff>
                    <xdr:row>635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1" name="Check Box 641">
              <controlPr defaultSize="0" autoFill="0" autoLine="0" autoPict="0">
                <anchor moveWithCells="1">
                  <from>
                    <xdr:col>4</xdr:col>
                    <xdr:colOff>0</xdr:colOff>
                    <xdr:row>634</xdr:row>
                    <xdr:rowOff>142875</xdr:rowOff>
                  </from>
                  <to>
                    <xdr:col>5</xdr:col>
                    <xdr:colOff>95250</xdr:colOff>
                    <xdr:row>636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2" name="Check Box 642">
              <controlPr defaultSize="0" autoFill="0" autoLine="0" autoPict="0">
                <anchor moveWithCells="1">
                  <from>
                    <xdr:col>4</xdr:col>
                    <xdr:colOff>0</xdr:colOff>
                    <xdr:row>635</xdr:row>
                    <xdr:rowOff>142875</xdr:rowOff>
                  </from>
                  <to>
                    <xdr:col>5</xdr:col>
                    <xdr:colOff>95250</xdr:colOff>
                    <xdr:row>637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3" name="Check Box 643">
              <controlPr defaultSize="0" autoFill="0" autoLine="0" autoPict="0">
                <anchor moveWithCells="1">
                  <from>
                    <xdr:col>4</xdr:col>
                    <xdr:colOff>0</xdr:colOff>
                    <xdr:row>636</xdr:row>
                    <xdr:rowOff>142875</xdr:rowOff>
                  </from>
                  <to>
                    <xdr:col>5</xdr:col>
                    <xdr:colOff>95250</xdr:colOff>
                    <xdr:row>638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4" name="Check Box 644">
              <controlPr defaultSize="0" autoFill="0" autoLine="0" autoPict="0">
                <anchor moveWithCells="1">
                  <from>
                    <xdr:col>4</xdr:col>
                    <xdr:colOff>0</xdr:colOff>
                    <xdr:row>637</xdr:row>
                    <xdr:rowOff>142875</xdr:rowOff>
                  </from>
                  <to>
                    <xdr:col>5</xdr:col>
                    <xdr:colOff>95250</xdr:colOff>
                    <xdr:row>639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5" name="Check Box 645">
              <controlPr defaultSize="0" autoFill="0" autoLine="0" autoPict="0">
                <anchor moveWithCells="1">
                  <from>
                    <xdr:col>4</xdr:col>
                    <xdr:colOff>0</xdr:colOff>
                    <xdr:row>638</xdr:row>
                    <xdr:rowOff>142875</xdr:rowOff>
                  </from>
                  <to>
                    <xdr:col>5</xdr:col>
                    <xdr:colOff>95250</xdr:colOff>
                    <xdr:row>640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6" name="Check Box 646">
              <controlPr defaultSize="0" autoFill="0" autoLine="0" autoPict="0">
                <anchor moveWithCells="1">
                  <from>
                    <xdr:col>4</xdr:col>
                    <xdr:colOff>0</xdr:colOff>
                    <xdr:row>639</xdr:row>
                    <xdr:rowOff>142875</xdr:rowOff>
                  </from>
                  <to>
                    <xdr:col>5</xdr:col>
                    <xdr:colOff>95250</xdr:colOff>
                    <xdr:row>641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7" name="Check Box 647">
              <controlPr defaultSize="0" autoFill="0" autoLine="0" autoPict="0">
                <anchor moveWithCells="1">
                  <from>
                    <xdr:col>4</xdr:col>
                    <xdr:colOff>0</xdr:colOff>
                    <xdr:row>640</xdr:row>
                    <xdr:rowOff>142875</xdr:rowOff>
                  </from>
                  <to>
                    <xdr:col>5</xdr:col>
                    <xdr:colOff>95250</xdr:colOff>
                    <xdr:row>642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48" name="Check Box 648">
              <controlPr defaultSize="0" autoFill="0" autoLine="0" autoPict="0">
                <anchor moveWithCells="1">
                  <from>
                    <xdr:col>4</xdr:col>
                    <xdr:colOff>0</xdr:colOff>
                    <xdr:row>641</xdr:row>
                    <xdr:rowOff>142875</xdr:rowOff>
                  </from>
                  <to>
                    <xdr:col>5</xdr:col>
                    <xdr:colOff>95250</xdr:colOff>
                    <xdr:row>643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49" name="Check Box 649">
              <controlPr defaultSize="0" autoFill="0" autoLine="0" autoPict="0">
                <anchor moveWithCells="1">
                  <from>
                    <xdr:col>4</xdr:col>
                    <xdr:colOff>0</xdr:colOff>
                    <xdr:row>642</xdr:row>
                    <xdr:rowOff>142875</xdr:rowOff>
                  </from>
                  <to>
                    <xdr:col>5</xdr:col>
                    <xdr:colOff>95250</xdr:colOff>
                    <xdr:row>644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0" name="Check Box 650">
              <controlPr defaultSize="0" autoFill="0" autoLine="0" autoPict="0">
                <anchor moveWithCells="1">
                  <from>
                    <xdr:col>4</xdr:col>
                    <xdr:colOff>0</xdr:colOff>
                    <xdr:row>643</xdr:row>
                    <xdr:rowOff>142875</xdr:rowOff>
                  </from>
                  <to>
                    <xdr:col>5</xdr:col>
                    <xdr:colOff>95250</xdr:colOff>
                    <xdr:row>645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1" name="Check Box 651">
              <controlPr defaultSize="0" autoFill="0" autoLine="0" autoPict="0">
                <anchor moveWithCells="1">
                  <from>
                    <xdr:col>4</xdr:col>
                    <xdr:colOff>0</xdr:colOff>
                    <xdr:row>644</xdr:row>
                    <xdr:rowOff>142875</xdr:rowOff>
                  </from>
                  <to>
                    <xdr:col>5</xdr:col>
                    <xdr:colOff>95250</xdr:colOff>
                    <xdr:row>646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2" name="Check Box 652">
              <controlPr defaultSize="0" autoFill="0" autoLine="0" autoPict="0">
                <anchor moveWithCells="1">
                  <from>
                    <xdr:col>4</xdr:col>
                    <xdr:colOff>0</xdr:colOff>
                    <xdr:row>645</xdr:row>
                    <xdr:rowOff>142875</xdr:rowOff>
                  </from>
                  <to>
                    <xdr:col>5</xdr:col>
                    <xdr:colOff>95250</xdr:colOff>
                    <xdr:row>647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3" name="Check Box 653">
              <controlPr defaultSize="0" autoFill="0" autoLine="0" autoPict="0">
                <anchor moveWithCells="1">
                  <from>
                    <xdr:col>4</xdr:col>
                    <xdr:colOff>0</xdr:colOff>
                    <xdr:row>646</xdr:row>
                    <xdr:rowOff>142875</xdr:rowOff>
                  </from>
                  <to>
                    <xdr:col>5</xdr:col>
                    <xdr:colOff>95250</xdr:colOff>
                    <xdr:row>648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4" name="Check Box 654">
              <controlPr defaultSize="0" autoFill="0" autoLine="0" autoPict="0">
                <anchor moveWithCells="1">
                  <from>
                    <xdr:col>4</xdr:col>
                    <xdr:colOff>0</xdr:colOff>
                    <xdr:row>647</xdr:row>
                    <xdr:rowOff>142875</xdr:rowOff>
                  </from>
                  <to>
                    <xdr:col>5</xdr:col>
                    <xdr:colOff>95250</xdr:colOff>
                    <xdr:row>649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5" name="Check Box 655">
              <controlPr defaultSize="0" autoFill="0" autoLine="0" autoPict="0">
                <anchor moveWithCells="1">
                  <from>
                    <xdr:col>4</xdr:col>
                    <xdr:colOff>0</xdr:colOff>
                    <xdr:row>648</xdr:row>
                    <xdr:rowOff>142875</xdr:rowOff>
                  </from>
                  <to>
                    <xdr:col>5</xdr:col>
                    <xdr:colOff>95250</xdr:colOff>
                    <xdr:row>650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6" name="Check Box 656">
              <controlPr defaultSize="0" autoFill="0" autoLine="0" autoPict="0">
                <anchor moveWithCells="1">
                  <from>
                    <xdr:col>4</xdr:col>
                    <xdr:colOff>0</xdr:colOff>
                    <xdr:row>649</xdr:row>
                    <xdr:rowOff>142875</xdr:rowOff>
                  </from>
                  <to>
                    <xdr:col>5</xdr:col>
                    <xdr:colOff>95250</xdr:colOff>
                    <xdr:row>651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7" name="Check Box 657">
              <controlPr defaultSize="0" autoFill="0" autoLine="0" autoPict="0">
                <anchor moveWithCells="1">
                  <from>
                    <xdr:col>4</xdr:col>
                    <xdr:colOff>0</xdr:colOff>
                    <xdr:row>650</xdr:row>
                    <xdr:rowOff>142875</xdr:rowOff>
                  </from>
                  <to>
                    <xdr:col>5</xdr:col>
                    <xdr:colOff>95250</xdr:colOff>
                    <xdr:row>652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58" name="Check Box 658">
              <controlPr defaultSize="0" autoFill="0" autoLine="0" autoPict="0">
                <anchor moveWithCells="1">
                  <from>
                    <xdr:col>4</xdr:col>
                    <xdr:colOff>0</xdr:colOff>
                    <xdr:row>651</xdr:row>
                    <xdr:rowOff>142875</xdr:rowOff>
                  </from>
                  <to>
                    <xdr:col>5</xdr:col>
                    <xdr:colOff>95250</xdr:colOff>
                    <xdr:row>653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59" name="Check Box 659">
              <controlPr defaultSize="0" autoFill="0" autoLine="0" autoPict="0">
                <anchor moveWithCells="1">
                  <from>
                    <xdr:col>4</xdr:col>
                    <xdr:colOff>0</xdr:colOff>
                    <xdr:row>652</xdr:row>
                    <xdr:rowOff>142875</xdr:rowOff>
                  </from>
                  <to>
                    <xdr:col>5</xdr:col>
                    <xdr:colOff>95250</xdr:colOff>
                    <xdr:row>654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0" name="Check Box 660">
              <controlPr defaultSize="0" autoFill="0" autoLine="0" autoPict="0">
                <anchor moveWithCells="1">
                  <from>
                    <xdr:col>4</xdr:col>
                    <xdr:colOff>0</xdr:colOff>
                    <xdr:row>653</xdr:row>
                    <xdr:rowOff>142875</xdr:rowOff>
                  </from>
                  <to>
                    <xdr:col>5</xdr:col>
                    <xdr:colOff>95250</xdr:colOff>
                    <xdr:row>655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1" name="Check Box 661">
              <controlPr defaultSize="0" autoFill="0" autoLine="0" autoPict="0">
                <anchor moveWithCells="1">
                  <from>
                    <xdr:col>4</xdr:col>
                    <xdr:colOff>0</xdr:colOff>
                    <xdr:row>654</xdr:row>
                    <xdr:rowOff>142875</xdr:rowOff>
                  </from>
                  <to>
                    <xdr:col>5</xdr:col>
                    <xdr:colOff>95250</xdr:colOff>
                    <xdr:row>656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2" name="Check Box 662">
              <controlPr defaultSize="0" autoFill="0" autoLine="0" autoPict="0">
                <anchor moveWithCells="1">
                  <from>
                    <xdr:col>4</xdr:col>
                    <xdr:colOff>0</xdr:colOff>
                    <xdr:row>655</xdr:row>
                    <xdr:rowOff>142875</xdr:rowOff>
                  </from>
                  <to>
                    <xdr:col>5</xdr:col>
                    <xdr:colOff>95250</xdr:colOff>
                    <xdr:row>657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3" name="Check Box 663">
              <controlPr defaultSize="0" autoFill="0" autoLine="0" autoPict="0">
                <anchor moveWithCells="1">
                  <from>
                    <xdr:col>4</xdr:col>
                    <xdr:colOff>0</xdr:colOff>
                    <xdr:row>656</xdr:row>
                    <xdr:rowOff>142875</xdr:rowOff>
                  </from>
                  <to>
                    <xdr:col>5</xdr:col>
                    <xdr:colOff>95250</xdr:colOff>
                    <xdr:row>658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4" name="Check Box 664">
              <controlPr defaultSize="0" autoFill="0" autoLine="0" autoPict="0">
                <anchor moveWithCells="1">
                  <from>
                    <xdr:col>4</xdr:col>
                    <xdr:colOff>0</xdr:colOff>
                    <xdr:row>657</xdr:row>
                    <xdr:rowOff>142875</xdr:rowOff>
                  </from>
                  <to>
                    <xdr:col>5</xdr:col>
                    <xdr:colOff>95250</xdr:colOff>
                    <xdr:row>659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5" name="Check Box 665">
              <controlPr defaultSize="0" autoFill="0" autoLine="0" autoPict="0">
                <anchor moveWithCells="1">
                  <from>
                    <xdr:col>4</xdr:col>
                    <xdr:colOff>0</xdr:colOff>
                    <xdr:row>658</xdr:row>
                    <xdr:rowOff>142875</xdr:rowOff>
                  </from>
                  <to>
                    <xdr:col>5</xdr:col>
                    <xdr:colOff>95250</xdr:colOff>
                    <xdr:row>660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6" name="Check Box 666">
              <controlPr defaultSize="0" autoFill="0" autoLine="0" autoPict="0">
                <anchor moveWithCells="1">
                  <from>
                    <xdr:col>4</xdr:col>
                    <xdr:colOff>0</xdr:colOff>
                    <xdr:row>659</xdr:row>
                    <xdr:rowOff>142875</xdr:rowOff>
                  </from>
                  <to>
                    <xdr:col>5</xdr:col>
                    <xdr:colOff>95250</xdr:colOff>
                    <xdr:row>661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7" name="Check Box 667">
              <controlPr defaultSize="0" autoFill="0" autoLine="0" autoPict="0">
                <anchor moveWithCells="1">
                  <from>
                    <xdr:col>4</xdr:col>
                    <xdr:colOff>0</xdr:colOff>
                    <xdr:row>660</xdr:row>
                    <xdr:rowOff>142875</xdr:rowOff>
                  </from>
                  <to>
                    <xdr:col>5</xdr:col>
                    <xdr:colOff>95250</xdr:colOff>
                    <xdr:row>662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68" name="Check Box 668">
              <controlPr defaultSize="0" autoFill="0" autoLine="0" autoPict="0">
                <anchor moveWithCells="1">
                  <from>
                    <xdr:col>4</xdr:col>
                    <xdr:colOff>0</xdr:colOff>
                    <xdr:row>661</xdr:row>
                    <xdr:rowOff>142875</xdr:rowOff>
                  </from>
                  <to>
                    <xdr:col>5</xdr:col>
                    <xdr:colOff>95250</xdr:colOff>
                    <xdr:row>663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69" name="Check Box 669">
              <controlPr defaultSize="0" autoFill="0" autoLine="0" autoPict="0">
                <anchor moveWithCells="1">
                  <from>
                    <xdr:col>4</xdr:col>
                    <xdr:colOff>0</xdr:colOff>
                    <xdr:row>662</xdr:row>
                    <xdr:rowOff>142875</xdr:rowOff>
                  </from>
                  <to>
                    <xdr:col>5</xdr:col>
                    <xdr:colOff>95250</xdr:colOff>
                    <xdr:row>664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0" name="Check Box 670">
              <controlPr defaultSize="0" autoFill="0" autoLine="0" autoPict="0">
                <anchor moveWithCells="1">
                  <from>
                    <xdr:col>4</xdr:col>
                    <xdr:colOff>0</xdr:colOff>
                    <xdr:row>663</xdr:row>
                    <xdr:rowOff>142875</xdr:rowOff>
                  </from>
                  <to>
                    <xdr:col>5</xdr:col>
                    <xdr:colOff>95250</xdr:colOff>
                    <xdr:row>665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1" name="Check Box 671">
              <controlPr defaultSize="0" autoFill="0" autoLine="0" autoPict="0">
                <anchor moveWithCells="1">
                  <from>
                    <xdr:col>4</xdr:col>
                    <xdr:colOff>0</xdr:colOff>
                    <xdr:row>664</xdr:row>
                    <xdr:rowOff>142875</xdr:rowOff>
                  </from>
                  <to>
                    <xdr:col>5</xdr:col>
                    <xdr:colOff>95250</xdr:colOff>
                    <xdr:row>666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2" name="Check Box 672">
              <controlPr defaultSize="0" autoFill="0" autoLine="0" autoPict="0">
                <anchor moveWithCells="1">
                  <from>
                    <xdr:col>4</xdr:col>
                    <xdr:colOff>0</xdr:colOff>
                    <xdr:row>665</xdr:row>
                    <xdr:rowOff>142875</xdr:rowOff>
                  </from>
                  <to>
                    <xdr:col>5</xdr:col>
                    <xdr:colOff>95250</xdr:colOff>
                    <xdr:row>667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3" name="Check Box 673">
              <controlPr defaultSize="0" autoFill="0" autoLine="0" autoPict="0">
                <anchor moveWithCells="1">
                  <from>
                    <xdr:col>4</xdr:col>
                    <xdr:colOff>0</xdr:colOff>
                    <xdr:row>666</xdr:row>
                    <xdr:rowOff>142875</xdr:rowOff>
                  </from>
                  <to>
                    <xdr:col>5</xdr:col>
                    <xdr:colOff>95250</xdr:colOff>
                    <xdr:row>668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4" name="Check Box 674">
              <controlPr defaultSize="0" autoFill="0" autoLine="0" autoPict="0">
                <anchor moveWithCells="1">
                  <from>
                    <xdr:col>4</xdr:col>
                    <xdr:colOff>0</xdr:colOff>
                    <xdr:row>667</xdr:row>
                    <xdr:rowOff>142875</xdr:rowOff>
                  </from>
                  <to>
                    <xdr:col>5</xdr:col>
                    <xdr:colOff>95250</xdr:colOff>
                    <xdr:row>669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5" name="Check Box 675">
              <controlPr defaultSize="0" autoFill="0" autoLine="0" autoPict="0">
                <anchor moveWithCells="1">
                  <from>
                    <xdr:col>4</xdr:col>
                    <xdr:colOff>0</xdr:colOff>
                    <xdr:row>668</xdr:row>
                    <xdr:rowOff>142875</xdr:rowOff>
                  </from>
                  <to>
                    <xdr:col>5</xdr:col>
                    <xdr:colOff>95250</xdr:colOff>
                    <xdr:row>670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6" name="Check Box 676">
              <controlPr defaultSize="0" autoFill="0" autoLine="0" autoPict="0">
                <anchor moveWithCells="1">
                  <from>
                    <xdr:col>4</xdr:col>
                    <xdr:colOff>0</xdr:colOff>
                    <xdr:row>669</xdr:row>
                    <xdr:rowOff>142875</xdr:rowOff>
                  </from>
                  <to>
                    <xdr:col>5</xdr:col>
                    <xdr:colOff>95250</xdr:colOff>
                    <xdr:row>671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77" name="Check Box 677">
              <controlPr defaultSize="0" autoFill="0" autoLine="0" autoPict="0">
                <anchor moveWithCells="1">
                  <from>
                    <xdr:col>4</xdr:col>
                    <xdr:colOff>0</xdr:colOff>
                    <xdr:row>670</xdr:row>
                    <xdr:rowOff>142875</xdr:rowOff>
                  </from>
                  <to>
                    <xdr:col>5</xdr:col>
                    <xdr:colOff>95250</xdr:colOff>
                    <xdr:row>672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78" name="Check Box 678">
              <controlPr defaultSize="0" autoFill="0" autoLine="0" autoPict="0">
                <anchor moveWithCells="1">
                  <from>
                    <xdr:col>4</xdr:col>
                    <xdr:colOff>0</xdr:colOff>
                    <xdr:row>671</xdr:row>
                    <xdr:rowOff>142875</xdr:rowOff>
                  </from>
                  <to>
                    <xdr:col>5</xdr:col>
                    <xdr:colOff>95250</xdr:colOff>
                    <xdr:row>673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79" name="Check Box 679">
              <controlPr defaultSize="0" autoFill="0" autoLine="0" autoPict="0">
                <anchor moveWithCells="1">
                  <from>
                    <xdr:col>4</xdr:col>
                    <xdr:colOff>0</xdr:colOff>
                    <xdr:row>672</xdr:row>
                    <xdr:rowOff>142875</xdr:rowOff>
                  </from>
                  <to>
                    <xdr:col>5</xdr:col>
                    <xdr:colOff>95250</xdr:colOff>
                    <xdr:row>674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0" name="Check Box 680">
              <controlPr defaultSize="0" autoFill="0" autoLine="0" autoPict="0">
                <anchor moveWithCells="1">
                  <from>
                    <xdr:col>4</xdr:col>
                    <xdr:colOff>0</xdr:colOff>
                    <xdr:row>673</xdr:row>
                    <xdr:rowOff>142875</xdr:rowOff>
                  </from>
                  <to>
                    <xdr:col>5</xdr:col>
                    <xdr:colOff>95250</xdr:colOff>
                    <xdr:row>675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1" name="Check Box 681">
              <controlPr defaultSize="0" autoFill="0" autoLine="0" autoPict="0">
                <anchor moveWithCells="1">
                  <from>
                    <xdr:col>4</xdr:col>
                    <xdr:colOff>0</xdr:colOff>
                    <xdr:row>674</xdr:row>
                    <xdr:rowOff>142875</xdr:rowOff>
                  </from>
                  <to>
                    <xdr:col>5</xdr:col>
                    <xdr:colOff>95250</xdr:colOff>
                    <xdr:row>676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2" name="Check Box 682">
              <controlPr defaultSize="0" autoFill="0" autoLine="0" autoPict="0">
                <anchor moveWithCells="1">
                  <from>
                    <xdr:col>4</xdr:col>
                    <xdr:colOff>0</xdr:colOff>
                    <xdr:row>675</xdr:row>
                    <xdr:rowOff>142875</xdr:rowOff>
                  </from>
                  <to>
                    <xdr:col>5</xdr:col>
                    <xdr:colOff>95250</xdr:colOff>
                    <xdr:row>677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3" name="Check Box 683">
              <controlPr defaultSize="0" autoFill="0" autoLine="0" autoPict="0">
                <anchor moveWithCells="1">
                  <from>
                    <xdr:col>4</xdr:col>
                    <xdr:colOff>0</xdr:colOff>
                    <xdr:row>676</xdr:row>
                    <xdr:rowOff>142875</xdr:rowOff>
                  </from>
                  <to>
                    <xdr:col>5</xdr:col>
                    <xdr:colOff>95250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4" name="Check Box 684">
              <controlPr defaultSize="0" autoFill="0" autoLine="0" autoPict="0">
                <anchor moveWithCells="1">
                  <from>
                    <xdr:col>4</xdr:col>
                    <xdr:colOff>0</xdr:colOff>
                    <xdr:row>677</xdr:row>
                    <xdr:rowOff>142875</xdr:rowOff>
                  </from>
                  <to>
                    <xdr:col>5</xdr:col>
                    <xdr:colOff>95250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5" name="Check Box 685">
              <controlPr defaultSize="0" autoFill="0" autoLine="0" autoPict="0">
                <anchor moveWithCells="1">
                  <from>
                    <xdr:col>4</xdr:col>
                    <xdr:colOff>0</xdr:colOff>
                    <xdr:row>678</xdr:row>
                    <xdr:rowOff>142875</xdr:rowOff>
                  </from>
                  <to>
                    <xdr:col>5</xdr:col>
                    <xdr:colOff>95250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6" name="Check Box 686">
              <controlPr defaultSize="0" autoFill="0" autoLine="0" autoPict="0">
                <anchor moveWithCells="1">
                  <from>
                    <xdr:col>4</xdr:col>
                    <xdr:colOff>0</xdr:colOff>
                    <xdr:row>679</xdr:row>
                    <xdr:rowOff>142875</xdr:rowOff>
                  </from>
                  <to>
                    <xdr:col>5</xdr:col>
                    <xdr:colOff>95250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87" name="Check Box 687">
              <controlPr defaultSize="0" autoFill="0" autoLine="0" autoPict="0">
                <anchor moveWithCells="1">
                  <from>
                    <xdr:col>4</xdr:col>
                    <xdr:colOff>0</xdr:colOff>
                    <xdr:row>680</xdr:row>
                    <xdr:rowOff>142875</xdr:rowOff>
                  </from>
                  <to>
                    <xdr:col>5</xdr:col>
                    <xdr:colOff>95250</xdr:colOff>
                    <xdr:row>682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88" name="Check Box 688">
              <controlPr defaultSize="0" autoFill="0" autoLine="0" autoPict="0">
                <anchor moveWithCells="1">
                  <from>
                    <xdr:col>4</xdr:col>
                    <xdr:colOff>0</xdr:colOff>
                    <xdr:row>681</xdr:row>
                    <xdr:rowOff>142875</xdr:rowOff>
                  </from>
                  <to>
                    <xdr:col>5</xdr:col>
                    <xdr:colOff>95250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89" name="Check Box 689">
              <controlPr defaultSize="0" autoFill="0" autoLine="0" autoPict="0">
                <anchor moveWithCells="1">
                  <from>
                    <xdr:col>4</xdr:col>
                    <xdr:colOff>0</xdr:colOff>
                    <xdr:row>682</xdr:row>
                    <xdr:rowOff>142875</xdr:rowOff>
                  </from>
                  <to>
                    <xdr:col>5</xdr:col>
                    <xdr:colOff>95250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0" name="Check Box 690">
              <controlPr defaultSize="0" autoFill="0" autoLine="0" autoPict="0">
                <anchor moveWithCells="1">
                  <from>
                    <xdr:col>4</xdr:col>
                    <xdr:colOff>0</xdr:colOff>
                    <xdr:row>683</xdr:row>
                    <xdr:rowOff>142875</xdr:rowOff>
                  </from>
                  <to>
                    <xdr:col>5</xdr:col>
                    <xdr:colOff>95250</xdr:colOff>
                    <xdr:row>685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1" name="Check Box 691">
              <controlPr defaultSize="0" autoFill="0" autoLine="0" autoPict="0">
                <anchor moveWithCells="1">
                  <from>
                    <xdr:col>4</xdr:col>
                    <xdr:colOff>0</xdr:colOff>
                    <xdr:row>684</xdr:row>
                    <xdr:rowOff>142875</xdr:rowOff>
                  </from>
                  <to>
                    <xdr:col>5</xdr:col>
                    <xdr:colOff>95250</xdr:colOff>
                    <xdr:row>686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2" name="Check Box 692">
              <controlPr defaultSize="0" autoFill="0" autoLine="0" autoPict="0">
                <anchor moveWithCells="1">
                  <from>
                    <xdr:col>4</xdr:col>
                    <xdr:colOff>0</xdr:colOff>
                    <xdr:row>685</xdr:row>
                    <xdr:rowOff>142875</xdr:rowOff>
                  </from>
                  <to>
                    <xdr:col>5</xdr:col>
                    <xdr:colOff>95250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3" name="Check Box 693">
              <controlPr defaultSize="0" autoFill="0" autoLine="0" autoPict="0">
                <anchor moveWithCells="1">
                  <from>
                    <xdr:col>4</xdr:col>
                    <xdr:colOff>0</xdr:colOff>
                    <xdr:row>686</xdr:row>
                    <xdr:rowOff>142875</xdr:rowOff>
                  </from>
                  <to>
                    <xdr:col>5</xdr:col>
                    <xdr:colOff>95250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4" name="Check Box 694">
              <controlPr defaultSize="0" autoFill="0" autoLine="0" autoPict="0">
                <anchor moveWithCells="1">
                  <from>
                    <xdr:col>4</xdr:col>
                    <xdr:colOff>0</xdr:colOff>
                    <xdr:row>687</xdr:row>
                    <xdr:rowOff>142875</xdr:rowOff>
                  </from>
                  <to>
                    <xdr:col>5</xdr:col>
                    <xdr:colOff>95250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5" name="Check Box 695">
              <controlPr defaultSize="0" autoFill="0" autoLine="0" autoPict="0">
                <anchor moveWithCells="1">
                  <from>
                    <xdr:col>4</xdr:col>
                    <xdr:colOff>0</xdr:colOff>
                    <xdr:row>688</xdr:row>
                    <xdr:rowOff>142875</xdr:rowOff>
                  </from>
                  <to>
                    <xdr:col>5</xdr:col>
                    <xdr:colOff>95250</xdr:colOff>
                    <xdr:row>690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6" name="Check Box 696">
              <controlPr defaultSize="0" autoFill="0" autoLine="0" autoPict="0">
                <anchor moveWithCells="1">
                  <from>
                    <xdr:col>4</xdr:col>
                    <xdr:colOff>0</xdr:colOff>
                    <xdr:row>689</xdr:row>
                    <xdr:rowOff>142875</xdr:rowOff>
                  </from>
                  <to>
                    <xdr:col>5</xdr:col>
                    <xdr:colOff>95250</xdr:colOff>
                    <xdr:row>691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97" name="Check Box 697">
              <controlPr defaultSize="0" autoFill="0" autoLine="0" autoPict="0">
                <anchor moveWithCells="1">
                  <from>
                    <xdr:col>4</xdr:col>
                    <xdr:colOff>0</xdr:colOff>
                    <xdr:row>690</xdr:row>
                    <xdr:rowOff>142875</xdr:rowOff>
                  </from>
                  <to>
                    <xdr:col>5</xdr:col>
                    <xdr:colOff>95250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98" name="Check Box 698">
              <controlPr defaultSize="0" autoFill="0" autoLine="0" autoPict="0">
                <anchor moveWithCells="1">
                  <from>
                    <xdr:col>4</xdr:col>
                    <xdr:colOff>0</xdr:colOff>
                    <xdr:row>691</xdr:row>
                    <xdr:rowOff>142875</xdr:rowOff>
                  </from>
                  <to>
                    <xdr:col>5</xdr:col>
                    <xdr:colOff>95250</xdr:colOff>
                    <xdr:row>693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99" name="Check Box 699">
              <controlPr defaultSize="0" autoFill="0" autoLine="0" autoPict="0">
                <anchor moveWithCells="1">
                  <from>
                    <xdr:col>4</xdr:col>
                    <xdr:colOff>0</xdr:colOff>
                    <xdr:row>692</xdr:row>
                    <xdr:rowOff>142875</xdr:rowOff>
                  </from>
                  <to>
                    <xdr:col>5</xdr:col>
                    <xdr:colOff>95250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0" name="Check Box 700">
              <controlPr defaultSize="0" autoFill="0" autoLine="0" autoPict="0">
                <anchor moveWithCells="1">
                  <from>
                    <xdr:col>4</xdr:col>
                    <xdr:colOff>0</xdr:colOff>
                    <xdr:row>693</xdr:row>
                    <xdr:rowOff>142875</xdr:rowOff>
                  </from>
                  <to>
                    <xdr:col>5</xdr:col>
                    <xdr:colOff>95250</xdr:colOff>
                    <xdr:row>695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1" name="Check Box 701">
              <controlPr defaultSize="0" autoFill="0" autoLine="0" autoPict="0">
                <anchor moveWithCells="1">
                  <from>
                    <xdr:col>4</xdr:col>
                    <xdr:colOff>0</xdr:colOff>
                    <xdr:row>694</xdr:row>
                    <xdr:rowOff>142875</xdr:rowOff>
                  </from>
                  <to>
                    <xdr:col>5</xdr:col>
                    <xdr:colOff>95250</xdr:colOff>
                    <xdr:row>696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2" name="Check Box 702">
              <controlPr defaultSize="0" autoFill="0" autoLine="0" autoPict="0">
                <anchor moveWithCells="1">
                  <from>
                    <xdr:col>4</xdr:col>
                    <xdr:colOff>0</xdr:colOff>
                    <xdr:row>695</xdr:row>
                    <xdr:rowOff>142875</xdr:rowOff>
                  </from>
                  <to>
                    <xdr:col>5</xdr:col>
                    <xdr:colOff>95250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3" name="Check Box 703">
              <controlPr defaultSize="0" autoFill="0" autoLine="0" autoPict="0">
                <anchor moveWithCells="1">
                  <from>
                    <xdr:col>4</xdr:col>
                    <xdr:colOff>0</xdr:colOff>
                    <xdr:row>696</xdr:row>
                    <xdr:rowOff>142875</xdr:rowOff>
                  </from>
                  <to>
                    <xdr:col>5</xdr:col>
                    <xdr:colOff>95250</xdr:colOff>
                    <xdr:row>698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4" name="Check Box 704">
              <controlPr defaultSize="0" autoFill="0" autoLine="0" autoPict="0">
                <anchor moveWithCells="1">
                  <from>
                    <xdr:col>4</xdr:col>
                    <xdr:colOff>0</xdr:colOff>
                    <xdr:row>697</xdr:row>
                    <xdr:rowOff>142875</xdr:rowOff>
                  </from>
                  <to>
                    <xdr:col>5</xdr:col>
                    <xdr:colOff>95250</xdr:colOff>
                    <xdr:row>699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5" name="Check Box 705">
              <controlPr defaultSize="0" autoFill="0" autoLine="0" autoPict="0">
                <anchor moveWithCells="1">
                  <from>
                    <xdr:col>4</xdr:col>
                    <xdr:colOff>0</xdr:colOff>
                    <xdr:row>698</xdr:row>
                    <xdr:rowOff>142875</xdr:rowOff>
                  </from>
                  <to>
                    <xdr:col>5</xdr:col>
                    <xdr:colOff>95250</xdr:colOff>
                    <xdr:row>700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6" name="Check Box 706">
              <controlPr defaultSize="0" autoFill="0" autoLine="0" autoPict="0">
                <anchor moveWithCells="1">
                  <from>
                    <xdr:col>4</xdr:col>
                    <xdr:colOff>0</xdr:colOff>
                    <xdr:row>699</xdr:row>
                    <xdr:rowOff>142875</xdr:rowOff>
                  </from>
                  <to>
                    <xdr:col>5</xdr:col>
                    <xdr:colOff>95250</xdr:colOff>
                    <xdr:row>701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07" name="Check Box 707">
              <controlPr defaultSize="0" autoFill="0" autoLine="0" autoPict="0">
                <anchor moveWithCells="1">
                  <from>
                    <xdr:col>4</xdr:col>
                    <xdr:colOff>0</xdr:colOff>
                    <xdr:row>700</xdr:row>
                    <xdr:rowOff>142875</xdr:rowOff>
                  </from>
                  <to>
                    <xdr:col>5</xdr:col>
                    <xdr:colOff>95250</xdr:colOff>
                    <xdr:row>702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08" name="Check Box 708">
              <controlPr defaultSize="0" autoFill="0" autoLine="0" autoPict="0">
                <anchor moveWithCells="1">
                  <from>
                    <xdr:col>4</xdr:col>
                    <xdr:colOff>0</xdr:colOff>
                    <xdr:row>701</xdr:row>
                    <xdr:rowOff>142875</xdr:rowOff>
                  </from>
                  <to>
                    <xdr:col>5</xdr:col>
                    <xdr:colOff>95250</xdr:colOff>
                    <xdr:row>703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09" name="Check Box 709">
              <controlPr defaultSize="0" autoFill="0" autoLine="0" autoPict="0">
                <anchor moveWithCells="1">
                  <from>
                    <xdr:col>4</xdr:col>
                    <xdr:colOff>0</xdr:colOff>
                    <xdr:row>702</xdr:row>
                    <xdr:rowOff>142875</xdr:rowOff>
                  </from>
                  <to>
                    <xdr:col>5</xdr:col>
                    <xdr:colOff>95250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0" name="Check Box 710">
              <controlPr defaultSize="0" autoFill="0" autoLine="0" autoPict="0">
                <anchor moveWithCells="1">
                  <from>
                    <xdr:col>4</xdr:col>
                    <xdr:colOff>0</xdr:colOff>
                    <xdr:row>703</xdr:row>
                    <xdr:rowOff>142875</xdr:rowOff>
                  </from>
                  <to>
                    <xdr:col>5</xdr:col>
                    <xdr:colOff>95250</xdr:colOff>
                    <xdr:row>705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1" name="Check Box 711">
              <controlPr defaultSize="0" autoFill="0" autoLine="0" autoPict="0">
                <anchor moveWithCells="1">
                  <from>
                    <xdr:col>4</xdr:col>
                    <xdr:colOff>0</xdr:colOff>
                    <xdr:row>704</xdr:row>
                    <xdr:rowOff>142875</xdr:rowOff>
                  </from>
                  <to>
                    <xdr:col>5</xdr:col>
                    <xdr:colOff>95250</xdr:colOff>
                    <xdr:row>706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2" name="Check Box 712">
              <controlPr defaultSize="0" autoFill="0" autoLine="0" autoPict="0">
                <anchor moveWithCells="1">
                  <from>
                    <xdr:col>4</xdr:col>
                    <xdr:colOff>0</xdr:colOff>
                    <xdr:row>705</xdr:row>
                    <xdr:rowOff>142875</xdr:rowOff>
                  </from>
                  <to>
                    <xdr:col>5</xdr:col>
                    <xdr:colOff>95250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3" name="Check Box 713">
              <controlPr defaultSize="0" autoFill="0" autoLine="0" autoPict="0">
                <anchor moveWithCells="1">
                  <from>
                    <xdr:col>4</xdr:col>
                    <xdr:colOff>0</xdr:colOff>
                    <xdr:row>706</xdr:row>
                    <xdr:rowOff>142875</xdr:rowOff>
                  </from>
                  <to>
                    <xdr:col>5</xdr:col>
                    <xdr:colOff>95250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4" name="Check Box 714">
              <controlPr defaultSize="0" autoFill="0" autoLine="0" autoPict="0">
                <anchor moveWithCells="1">
                  <from>
                    <xdr:col>4</xdr:col>
                    <xdr:colOff>0</xdr:colOff>
                    <xdr:row>707</xdr:row>
                    <xdr:rowOff>142875</xdr:rowOff>
                  </from>
                  <to>
                    <xdr:col>5</xdr:col>
                    <xdr:colOff>95250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5" name="Check Box 715">
              <controlPr defaultSize="0" autoFill="0" autoLine="0" autoPict="0">
                <anchor moveWithCells="1">
                  <from>
                    <xdr:col>4</xdr:col>
                    <xdr:colOff>0</xdr:colOff>
                    <xdr:row>708</xdr:row>
                    <xdr:rowOff>142875</xdr:rowOff>
                  </from>
                  <to>
                    <xdr:col>5</xdr:col>
                    <xdr:colOff>95250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6" name="Check Box 716">
              <controlPr defaultSize="0" autoFill="0" autoLine="0" autoPict="0">
                <anchor moveWithCells="1">
                  <from>
                    <xdr:col>4</xdr:col>
                    <xdr:colOff>0</xdr:colOff>
                    <xdr:row>709</xdr:row>
                    <xdr:rowOff>142875</xdr:rowOff>
                  </from>
                  <to>
                    <xdr:col>5</xdr:col>
                    <xdr:colOff>95250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17" name="Check Box 717">
              <controlPr defaultSize="0" autoFill="0" autoLine="0" autoPict="0">
                <anchor moveWithCells="1">
                  <from>
                    <xdr:col>4</xdr:col>
                    <xdr:colOff>0</xdr:colOff>
                    <xdr:row>710</xdr:row>
                    <xdr:rowOff>142875</xdr:rowOff>
                  </from>
                  <to>
                    <xdr:col>5</xdr:col>
                    <xdr:colOff>95250</xdr:colOff>
                    <xdr:row>712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18" name="Check Box 718">
              <controlPr defaultSize="0" autoFill="0" autoLine="0" autoPict="0">
                <anchor moveWithCells="1">
                  <from>
                    <xdr:col>4</xdr:col>
                    <xdr:colOff>0</xdr:colOff>
                    <xdr:row>711</xdr:row>
                    <xdr:rowOff>142875</xdr:rowOff>
                  </from>
                  <to>
                    <xdr:col>5</xdr:col>
                    <xdr:colOff>95250</xdr:colOff>
                    <xdr:row>713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19" name="Check Box 719">
              <controlPr defaultSize="0" autoFill="0" autoLine="0" autoPict="0">
                <anchor moveWithCells="1">
                  <from>
                    <xdr:col>4</xdr:col>
                    <xdr:colOff>0</xdr:colOff>
                    <xdr:row>712</xdr:row>
                    <xdr:rowOff>142875</xdr:rowOff>
                  </from>
                  <to>
                    <xdr:col>5</xdr:col>
                    <xdr:colOff>95250</xdr:colOff>
                    <xdr:row>714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0" name="Check Box 720">
              <controlPr defaultSize="0" autoFill="0" autoLine="0" autoPict="0">
                <anchor moveWithCells="1">
                  <from>
                    <xdr:col>4</xdr:col>
                    <xdr:colOff>0</xdr:colOff>
                    <xdr:row>713</xdr:row>
                    <xdr:rowOff>142875</xdr:rowOff>
                  </from>
                  <to>
                    <xdr:col>5</xdr:col>
                    <xdr:colOff>95250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1" name="Check Box 721">
              <controlPr defaultSize="0" autoFill="0" autoLine="0" autoPict="0">
                <anchor moveWithCells="1">
                  <from>
                    <xdr:col>4</xdr:col>
                    <xdr:colOff>0</xdr:colOff>
                    <xdr:row>714</xdr:row>
                    <xdr:rowOff>142875</xdr:rowOff>
                  </from>
                  <to>
                    <xdr:col>5</xdr:col>
                    <xdr:colOff>95250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2" name="Check Box 722">
              <controlPr defaultSize="0" autoFill="0" autoLine="0" autoPict="0">
                <anchor moveWithCells="1">
                  <from>
                    <xdr:col>4</xdr:col>
                    <xdr:colOff>0</xdr:colOff>
                    <xdr:row>715</xdr:row>
                    <xdr:rowOff>142875</xdr:rowOff>
                  </from>
                  <to>
                    <xdr:col>5</xdr:col>
                    <xdr:colOff>95250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3" name="Check Box 723">
              <controlPr defaultSize="0" autoFill="0" autoLine="0" autoPict="0">
                <anchor moveWithCells="1">
                  <from>
                    <xdr:col>4</xdr:col>
                    <xdr:colOff>0</xdr:colOff>
                    <xdr:row>716</xdr:row>
                    <xdr:rowOff>142875</xdr:rowOff>
                  </from>
                  <to>
                    <xdr:col>5</xdr:col>
                    <xdr:colOff>95250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4" name="Check Box 724">
              <controlPr defaultSize="0" autoFill="0" autoLine="0" autoPict="0">
                <anchor moveWithCells="1">
                  <from>
                    <xdr:col>4</xdr:col>
                    <xdr:colOff>0</xdr:colOff>
                    <xdr:row>717</xdr:row>
                    <xdr:rowOff>142875</xdr:rowOff>
                  </from>
                  <to>
                    <xdr:col>5</xdr:col>
                    <xdr:colOff>95250</xdr:colOff>
                    <xdr:row>719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5" name="Check Box 725">
              <controlPr defaultSize="0" autoFill="0" autoLine="0" autoPict="0">
                <anchor moveWithCells="1">
                  <from>
                    <xdr:col>4</xdr:col>
                    <xdr:colOff>0</xdr:colOff>
                    <xdr:row>718</xdr:row>
                    <xdr:rowOff>142875</xdr:rowOff>
                  </from>
                  <to>
                    <xdr:col>5</xdr:col>
                    <xdr:colOff>95250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6" name="Check Box 726">
              <controlPr defaultSize="0" autoFill="0" autoLine="0" autoPict="0">
                <anchor moveWithCells="1">
                  <from>
                    <xdr:col>4</xdr:col>
                    <xdr:colOff>0</xdr:colOff>
                    <xdr:row>719</xdr:row>
                    <xdr:rowOff>142875</xdr:rowOff>
                  </from>
                  <to>
                    <xdr:col>5</xdr:col>
                    <xdr:colOff>95250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27" name="Check Box 727">
              <controlPr defaultSize="0" autoFill="0" autoLine="0" autoPict="0">
                <anchor moveWithCells="1">
                  <from>
                    <xdr:col>4</xdr:col>
                    <xdr:colOff>0</xdr:colOff>
                    <xdr:row>720</xdr:row>
                    <xdr:rowOff>142875</xdr:rowOff>
                  </from>
                  <to>
                    <xdr:col>5</xdr:col>
                    <xdr:colOff>95250</xdr:colOff>
                    <xdr:row>722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28" name="Check Box 728">
              <controlPr defaultSize="0" autoFill="0" autoLine="0" autoPict="0">
                <anchor moveWithCells="1">
                  <from>
                    <xdr:col>4</xdr:col>
                    <xdr:colOff>0</xdr:colOff>
                    <xdr:row>721</xdr:row>
                    <xdr:rowOff>142875</xdr:rowOff>
                  </from>
                  <to>
                    <xdr:col>5</xdr:col>
                    <xdr:colOff>95250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29" name="Check Box 729">
              <controlPr defaultSize="0" autoFill="0" autoLine="0" autoPict="0">
                <anchor moveWithCells="1">
                  <from>
                    <xdr:col>4</xdr:col>
                    <xdr:colOff>0</xdr:colOff>
                    <xdr:row>722</xdr:row>
                    <xdr:rowOff>142875</xdr:rowOff>
                  </from>
                  <to>
                    <xdr:col>5</xdr:col>
                    <xdr:colOff>95250</xdr:colOff>
                    <xdr:row>724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0" name="Check Box 730">
              <controlPr defaultSize="0" autoFill="0" autoLine="0" autoPict="0">
                <anchor moveWithCells="1">
                  <from>
                    <xdr:col>4</xdr:col>
                    <xdr:colOff>0</xdr:colOff>
                    <xdr:row>723</xdr:row>
                    <xdr:rowOff>142875</xdr:rowOff>
                  </from>
                  <to>
                    <xdr:col>5</xdr:col>
                    <xdr:colOff>95250</xdr:colOff>
                    <xdr:row>725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1" name="Check Box 731">
              <controlPr defaultSize="0" autoFill="0" autoLine="0" autoPict="0">
                <anchor moveWithCells="1">
                  <from>
                    <xdr:col>4</xdr:col>
                    <xdr:colOff>0</xdr:colOff>
                    <xdr:row>724</xdr:row>
                    <xdr:rowOff>142875</xdr:rowOff>
                  </from>
                  <to>
                    <xdr:col>5</xdr:col>
                    <xdr:colOff>95250</xdr:colOff>
                    <xdr:row>726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2" name="Check Box 732">
              <controlPr defaultSize="0" autoFill="0" autoLine="0" autoPict="0">
                <anchor moveWithCells="1">
                  <from>
                    <xdr:col>4</xdr:col>
                    <xdr:colOff>0</xdr:colOff>
                    <xdr:row>725</xdr:row>
                    <xdr:rowOff>142875</xdr:rowOff>
                  </from>
                  <to>
                    <xdr:col>5</xdr:col>
                    <xdr:colOff>95250</xdr:colOff>
                    <xdr:row>727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3" name="Check Box 733">
              <controlPr defaultSize="0" autoFill="0" autoLine="0" autoPict="0">
                <anchor moveWithCells="1">
                  <from>
                    <xdr:col>4</xdr:col>
                    <xdr:colOff>0</xdr:colOff>
                    <xdr:row>726</xdr:row>
                    <xdr:rowOff>142875</xdr:rowOff>
                  </from>
                  <to>
                    <xdr:col>5</xdr:col>
                    <xdr:colOff>95250</xdr:colOff>
                    <xdr:row>728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4" name="Check Box 734">
              <controlPr defaultSize="0" autoFill="0" autoLine="0" autoPict="0">
                <anchor moveWithCells="1">
                  <from>
                    <xdr:col>4</xdr:col>
                    <xdr:colOff>0</xdr:colOff>
                    <xdr:row>727</xdr:row>
                    <xdr:rowOff>142875</xdr:rowOff>
                  </from>
                  <to>
                    <xdr:col>5</xdr:col>
                    <xdr:colOff>95250</xdr:colOff>
                    <xdr:row>729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5" name="Check Box 735">
              <controlPr defaultSize="0" autoFill="0" autoLine="0" autoPict="0">
                <anchor moveWithCells="1">
                  <from>
                    <xdr:col>4</xdr:col>
                    <xdr:colOff>0</xdr:colOff>
                    <xdr:row>728</xdr:row>
                    <xdr:rowOff>142875</xdr:rowOff>
                  </from>
                  <to>
                    <xdr:col>5</xdr:col>
                    <xdr:colOff>95250</xdr:colOff>
                    <xdr:row>730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6" name="Check Box 736">
              <controlPr defaultSize="0" autoFill="0" autoLine="0" autoPict="0">
                <anchor moveWithCells="1">
                  <from>
                    <xdr:col>4</xdr:col>
                    <xdr:colOff>0</xdr:colOff>
                    <xdr:row>729</xdr:row>
                    <xdr:rowOff>142875</xdr:rowOff>
                  </from>
                  <to>
                    <xdr:col>5</xdr:col>
                    <xdr:colOff>95250</xdr:colOff>
                    <xdr:row>731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37" name="Check Box 737">
              <controlPr defaultSize="0" autoFill="0" autoLine="0" autoPict="0">
                <anchor moveWithCells="1">
                  <from>
                    <xdr:col>4</xdr:col>
                    <xdr:colOff>0</xdr:colOff>
                    <xdr:row>730</xdr:row>
                    <xdr:rowOff>142875</xdr:rowOff>
                  </from>
                  <to>
                    <xdr:col>5</xdr:col>
                    <xdr:colOff>95250</xdr:colOff>
                    <xdr:row>732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38" name="Check Box 738">
              <controlPr defaultSize="0" autoFill="0" autoLine="0" autoPict="0">
                <anchor moveWithCells="1">
                  <from>
                    <xdr:col>4</xdr:col>
                    <xdr:colOff>0</xdr:colOff>
                    <xdr:row>731</xdr:row>
                    <xdr:rowOff>142875</xdr:rowOff>
                  </from>
                  <to>
                    <xdr:col>5</xdr:col>
                    <xdr:colOff>95250</xdr:colOff>
                    <xdr:row>733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39" name="Check Box 739">
              <controlPr defaultSize="0" autoFill="0" autoLine="0" autoPict="0">
                <anchor moveWithCells="1">
                  <from>
                    <xdr:col>4</xdr:col>
                    <xdr:colOff>0</xdr:colOff>
                    <xdr:row>732</xdr:row>
                    <xdr:rowOff>142875</xdr:rowOff>
                  </from>
                  <to>
                    <xdr:col>5</xdr:col>
                    <xdr:colOff>95250</xdr:colOff>
                    <xdr:row>734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0" name="Check Box 740">
              <controlPr defaultSize="0" autoFill="0" autoLine="0" autoPict="0">
                <anchor moveWithCells="1">
                  <from>
                    <xdr:col>4</xdr:col>
                    <xdr:colOff>0</xdr:colOff>
                    <xdr:row>733</xdr:row>
                    <xdr:rowOff>142875</xdr:rowOff>
                  </from>
                  <to>
                    <xdr:col>5</xdr:col>
                    <xdr:colOff>95250</xdr:colOff>
                    <xdr:row>735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1" name="Check Box 741">
              <controlPr defaultSize="0" autoFill="0" autoLine="0" autoPict="0">
                <anchor moveWithCells="1">
                  <from>
                    <xdr:col>4</xdr:col>
                    <xdr:colOff>0</xdr:colOff>
                    <xdr:row>734</xdr:row>
                    <xdr:rowOff>142875</xdr:rowOff>
                  </from>
                  <to>
                    <xdr:col>5</xdr:col>
                    <xdr:colOff>95250</xdr:colOff>
                    <xdr:row>736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2" name="Check Box 742">
              <controlPr defaultSize="0" autoFill="0" autoLine="0" autoPict="0">
                <anchor moveWithCells="1">
                  <from>
                    <xdr:col>4</xdr:col>
                    <xdr:colOff>0</xdr:colOff>
                    <xdr:row>735</xdr:row>
                    <xdr:rowOff>142875</xdr:rowOff>
                  </from>
                  <to>
                    <xdr:col>5</xdr:col>
                    <xdr:colOff>95250</xdr:colOff>
                    <xdr:row>737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3" name="Check Box 743">
              <controlPr defaultSize="0" autoFill="0" autoLine="0" autoPict="0">
                <anchor moveWithCells="1">
                  <from>
                    <xdr:col>4</xdr:col>
                    <xdr:colOff>0</xdr:colOff>
                    <xdr:row>736</xdr:row>
                    <xdr:rowOff>142875</xdr:rowOff>
                  </from>
                  <to>
                    <xdr:col>5</xdr:col>
                    <xdr:colOff>95250</xdr:colOff>
                    <xdr:row>738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4" name="Check Box 744">
              <controlPr defaultSize="0" autoFill="0" autoLine="0" autoPict="0">
                <anchor moveWithCells="1">
                  <from>
                    <xdr:col>4</xdr:col>
                    <xdr:colOff>0</xdr:colOff>
                    <xdr:row>737</xdr:row>
                    <xdr:rowOff>142875</xdr:rowOff>
                  </from>
                  <to>
                    <xdr:col>5</xdr:col>
                    <xdr:colOff>95250</xdr:colOff>
                    <xdr:row>739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5" name="Check Box 745">
              <controlPr defaultSize="0" autoFill="0" autoLine="0" autoPict="0">
                <anchor moveWithCells="1">
                  <from>
                    <xdr:col>4</xdr:col>
                    <xdr:colOff>0</xdr:colOff>
                    <xdr:row>738</xdr:row>
                    <xdr:rowOff>142875</xdr:rowOff>
                  </from>
                  <to>
                    <xdr:col>5</xdr:col>
                    <xdr:colOff>95250</xdr:colOff>
                    <xdr:row>740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6" name="Check Box 746">
              <controlPr defaultSize="0" autoFill="0" autoLine="0" autoPict="0">
                <anchor moveWithCells="1">
                  <from>
                    <xdr:col>4</xdr:col>
                    <xdr:colOff>0</xdr:colOff>
                    <xdr:row>739</xdr:row>
                    <xdr:rowOff>142875</xdr:rowOff>
                  </from>
                  <to>
                    <xdr:col>5</xdr:col>
                    <xdr:colOff>95250</xdr:colOff>
                    <xdr:row>741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47" name="Check Box 747">
              <controlPr defaultSize="0" autoFill="0" autoLine="0" autoPict="0">
                <anchor moveWithCells="1">
                  <from>
                    <xdr:col>4</xdr:col>
                    <xdr:colOff>0</xdr:colOff>
                    <xdr:row>740</xdr:row>
                    <xdr:rowOff>142875</xdr:rowOff>
                  </from>
                  <to>
                    <xdr:col>5</xdr:col>
                    <xdr:colOff>95250</xdr:colOff>
                    <xdr:row>742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48" name="Check Box 748">
              <controlPr defaultSize="0" autoFill="0" autoLine="0" autoPict="0">
                <anchor moveWithCells="1">
                  <from>
                    <xdr:col>4</xdr:col>
                    <xdr:colOff>0</xdr:colOff>
                    <xdr:row>741</xdr:row>
                    <xdr:rowOff>142875</xdr:rowOff>
                  </from>
                  <to>
                    <xdr:col>5</xdr:col>
                    <xdr:colOff>95250</xdr:colOff>
                    <xdr:row>743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49" name="Check Box 749">
              <controlPr defaultSize="0" autoFill="0" autoLine="0" autoPict="0">
                <anchor moveWithCells="1">
                  <from>
                    <xdr:col>4</xdr:col>
                    <xdr:colOff>0</xdr:colOff>
                    <xdr:row>742</xdr:row>
                    <xdr:rowOff>142875</xdr:rowOff>
                  </from>
                  <to>
                    <xdr:col>5</xdr:col>
                    <xdr:colOff>95250</xdr:colOff>
                    <xdr:row>744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0" name="Check Box 750">
              <controlPr defaultSize="0" autoFill="0" autoLine="0" autoPict="0">
                <anchor moveWithCells="1">
                  <from>
                    <xdr:col>4</xdr:col>
                    <xdr:colOff>0</xdr:colOff>
                    <xdr:row>743</xdr:row>
                    <xdr:rowOff>142875</xdr:rowOff>
                  </from>
                  <to>
                    <xdr:col>5</xdr:col>
                    <xdr:colOff>95250</xdr:colOff>
                    <xdr:row>745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1" name="Check Box 751">
              <controlPr defaultSize="0" autoFill="0" autoLine="0" autoPict="0">
                <anchor moveWithCells="1">
                  <from>
                    <xdr:col>4</xdr:col>
                    <xdr:colOff>0</xdr:colOff>
                    <xdr:row>744</xdr:row>
                    <xdr:rowOff>142875</xdr:rowOff>
                  </from>
                  <to>
                    <xdr:col>5</xdr:col>
                    <xdr:colOff>95250</xdr:colOff>
                    <xdr:row>746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2" name="Check Box 752">
              <controlPr defaultSize="0" autoFill="0" autoLine="0" autoPict="0">
                <anchor moveWithCells="1">
                  <from>
                    <xdr:col>4</xdr:col>
                    <xdr:colOff>0</xdr:colOff>
                    <xdr:row>745</xdr:row>
                    <xdr:rowOff>142875</xdr:rowOff>
                  </from>
                  <to>
                    <xdr:col>5</xdr:col>
                    <xdr:colOff>95250</xdr:colOff>
                    <xdr:row>747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3" name="Check Box 753">
              <controlPr defaultSize="0" autoFill="0" autoLine="0" autoPict="0">
                <anchor moveWithCells="1">
                  <from>
                    <xdr:col>4</xdr:col>
                    <xdr:colOff>0</xdr:colOff>
                    <xdr:row>746</xdr:row>
                    <xdr:rowOff>142875</xdr:rowOff>
                  </from>
                  <to>
                    <xdr:col>5</xdr:col>
                    <xdr:colOff>95250</xdr:colOff>
                    <xdr:row>748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4" name="Check Box 754">
              <controlPr defaultSize="0" autoFill="0" autoLine="0" autoPict="0">
                <anchor moveWithCells="1">
                  <from>
                    <xdr:col>4</xdr:col>
                    <xdr:colOff>0</xdr:colOff>
                    <xdr:row>747</xdr:row>
                    <xdr:rowOff>142875</xdr:rowOff>
                  </from>
                  <to>
                    <xdr:col>5</xdr:col>
                    <xdr:colOff>95250</xdr:colOff>
                    <xdr:row>749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5" name="Check Box 755">
              <controlPr defaultSize="0" autoFill="0" autoLine="0" autoPict="0">
                <anchor moveWithCells="1">
                  <from>
                    <xdr:col>4</xdr:col>
                    <xdr:colOff>0</xdr:colOff>
                    <xdr:row>748</xdr:row>
                    <xdr:rowOff>142875</xdr:rowOff>
                  </from>
                  <to>
                    <xdr:col>5</xdr:col>
                    <xdr:colOff>95250</xdr:colOff>
                    <xdr:row>750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6" name="Check Box 756">
              <controlPr defaultSize="0" autoFill="0" autoLine="0" autoPict="0">
                <anchor moveWithCells="1">
                  <from>
                    <xdr:col>4</xdr:col>
                    <xdr:colOff>0</xdr:colOff>
                    <xdr:row>749</xdr:row>
                    <xdr:rowOff>142875</xdr:rowOff>
                  </from>
                  <to>
                    <xdr:col>5</xdr:col>
                    <xdr:colOff>95250</xdr:colOff>
                    <xdr:row>751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57" name="Check Box 757">
              <controlPr defaultSize="0" autoFill="0" autoLine="0" autoPict="0">
                <anchor moveWithCells="1">
                  <from>
                    <xdr:col>4</xdr:col>
                    <xdr:colOff>0</xdr:colOff>
                    <xdr:row>750</xdr:row>
                    <xdr:rowOff>142875</xdr:rowOff>
                  </from>
                  <to>
                    <xdr:col>5</xdr:col>
                    <xdr:colOff>95250</xdr:colOff>
                    <xdr:row>752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58" name="Check Box 758">
              <controlPr defaultSize="0" autoFill="0" autoLine="0" autoPict="0">
                <anchor moveWithCells="1">
                  <from>
                    <xdr:col>4</xdr:col>
                    <xdr:colOff>0</xdr:colOff>
                    <xdr:row>751</xdr:row>
                    <xdr:rowOff>142875</xdr:rowOff>
                  </from>
                  <to>
                    <xdr:col>5</xdr:col>
                    <xdr:colOff>95250</xdr:colOff>
                    <xdr:row>753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59" name="Check Box 759">
              <controlPr defaultSize="0" autoFill="0" autoLine="0" autoPict="0">
                <anchor moveWithCells="1">
                  <from>
                    <xdr:col>4</xdr:col>
                    <xdr:colOff>0</xdr:colOff>
                    <xdr:row>752</xdr:row>
                    <xdr:rowOff>142875</xdr:rowOff>
                  </from>
                  <to>
                    <xdr:col>5</xdr:col>
                    <xdr:colOff>95250</xdr:colOff>
                    <xdr:row>754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0" name="Check Box 760">
              <controlPr defaultSize="0" autoFill="0" autoLine="0" autoPict="0">
                <anchor moveWithCells="1">
                  <from>
                    <xdr:col>4</xdr:col>
                    <xdr:colOff>0</xdr:colOff>
                    <xdr:row>753</xdr:row>
                    <xdr:rowOff>142875</xdr:rowOff>
                  </from>
                  <to>
                    <xdr:col>5</xdr:col>
                    <xdr:colOff>95250</xdr:colOff>
                    <xdr:row>755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1" name="Check Box 761">
              <controlPr defaultSize="0" autoFill="0" autoLine="0" autoPict="0">
                <anchor moveWithCells="1">
                  <from>
                    <xdr:col>4</xdr:col>
                    <xdr:colOff>0</xdr:colOff>
                    <xdr:row>754</xdr:row>
                    <xdr:rowOff>142875</xdr:rowOff>
                  </from>
                  <to>
                    <xdr:col>5</xdr:col>
                    <xdr:colOff>95250</xdr:colOff>
                    <xdr:row>756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2" name="Check Box 762">
              <controlPr defaultSize="0" autoFill="0" autoLine="0" autoPict="0">
                <anchor moveWithCells="1">
                  <from>
                    <xdr:col>4</xdr:col>
                    <xdr:colOff>0</xdr:colOff>
                    <xdr:row>755</xdr:row>
                    <xdr:rowOff>142875</xdr:rowOff>
                  </from>
                  <to>
                    <xdr:col>5</xdr:col>
                    <xdr:colOff>95250</xdr:colOff>
                    <xdr:row>757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3" name="Check Box 763">
              <controlPr defaultSize="0" autoFill="0" autoLine="0" autoPict="0">
                <anchor moveWithCells="1">
                  <from>
                    <xdr:col>4</xdr:col>
                    <xdr:colOff>0</xdr:colOff>
                    <xdr:row>756</xdr:row>
                    <xdr:rowOff>142875</xdr:rowOff>
                  </from>
                  <to>
                    <xdr:col>5</xdr:col>
                    <xdr:colOff>95250</xdr:colOff>
                    <xdr:row>758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4" name="Check Box 764">
              <controlPr defaultSize="0" autoFill="0" autoLine="0" autoPict="0">
                <anchor moveWithCells="1">
                  <from>
                    <xdr:col>4</xdr:col>
                    <xdr:colOff>0</xdr:colOff>
                    <xdr:row>757</xdr:row>
                    <xdr:rowOff>142875</xdr:rowOff>
                  </from>
                  <to>
                    <xdr:col>5</xdr:col>
                    <xdr:colOff>95250</xdr:colOff>
                    <xdr:row>759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5" name="Check Box 765">
              <controlPr defaultSize="0" autoFill="0" autoLine="0" autoPict="0">
                <anchor moveWithCells="1">
                  <from>
                    <xdr:col>4</xdr:col>
                    <xdr:colOff>0</xdr:colOff>
                    <xdr:row>758</xdr:row>
                    <xdr:rowOff>142875</xdr:rowOff>
                  </from>
                  <to>
                    <xdr:col>5</xdr:col>
                    <xdr:colOff>95250</xdr:colOff>
                    <xdr:row>760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6" name="Check Box 766">
              <controlPr defaultSize="0" autoFill="0" autoLine="0" autoPict="0">
                <anchor moveWithCells="1">
                  <from>
                    <xdr:col>4</xdr:col>
                    <xdr:colOff>0</xdr:colOff>
                    <xdr:row>759</xdr:row>
                    <xdr:rowOff>142875</xdr:rowOff>
                  </from>
                  <to>
                    <xdr:col>5</xdr:col>
                    <xdr:colOff>95250</xdr:colOff>
                    <xdr:row>761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67" name="Check Box 767">
              <controlPr defaultSize="0" autoFill="0" autoLine="0" autoPict="0">
                <anchor moveWithCells="1">
                  <from>
                    <xdr:col>4</xdr:col>
                    <xdr:colOff>0</xdr:colOff>
                    <xdr:row>760</xdr:row>
                    <xdr:rowOff>142875</xdr:rowOff>
                  </from>
                  <to>
                    <xdr:col>5</xdr:col>
                    <xdr:colOff>95250</xdr:colOff>
                    <xdr:row>762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68" name="Check Box 768">
              <controlPr defaultSize="0" autoFill="0" autoLine="0" autoPict="0">
                <anchor moveWithCells="1">
                  <from>
                    <xdr:col>4</xdr:col>
                    <xdr:colOff>0</xdr:colOff>
                    <xdr:row>761</xdr:row>
                    <xdr:rowOff>142875</xdr:rowOff>
                  </from>
                  <to>
                    <xdr:col>5</xdr:col>
                    <xdr:colOff>95250</xdr:colOff>
                    <xdr:row>763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69" name="Check Box 769">
              <controlPr defaultSize="0" autoFill="0" autoLine="0" autoPict="0">
                <anchor moveWithCells="1">
                  <from>
                    <xdr:col>4</xdr:col>
                    <xdr:colOff>0</xdr:colOff>
                    <xdr:row>762</xdr:row>
                    <xdr:rowOff>142875</xdr:rowOff>
                  </from>
                  <to>
                    <xdr:col>5</xdr:col>
                    <xdr:colOff>95250</xdr:colOff>
                    <xdr:row>764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0" name="Check Box 770">
              <controlPr defaultSize="0" autoFill="0" autoLine="0" autoPict="0">
                <anchor moveWithCells="1">
                  <from>
                    <xdr:col>4</xdr:col>
                    <xdr:colOff>0</xdr:colOff>
                    <xdr:row>763</xdr:row>
                    <xdr:rowOff>142875</xdr:rowOff>
                  </from>
                  <to>
                    <xdr:col>5</xdr:col>
                    <xdr:colOff>95250</xdr:colOff>
                    <xdr:row>765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1" name="Check Box 771">
              <controlPr defaultSize="0" autoFill="0" autoLine="0" autoPict="0">
                <anchor moveWithCells="1">
                  <from>
                    <xdr:col>4</xdr:col>
                    <xdr:colOff>0</xdr:colOff>
                    <xdr:row>764</xdr:row>
                    <xdr:rowOff>142875</xdr:rowOff>
                  </from>
                  <to>
                    <xdr:col>5</xdr:col>
                    <xdr:colOff>95250</xdr:colOff>
                    <xdr:row>766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2" name="Check Box 772">
              <controlPr defaultSize="0" autoFill="0" autoLine="0" autoPict="0">
                <anchor moveWithCells="1">
                  <from>
                    <xdr:col>4</xdr:col>
                    <xdr:colOff>0</xdr:colOff>
                    <xdr:row>765</xdr:row>
                    <xdr:rowOff>142875</xdr:rowOff>
                  </from>
                  <to>
                    <xdr:col>5</xdr:col>
                    <xdr:colOff>95250</xdr:colOff>
                    <xdr:row>767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3" name="Check Box 773">
              <controlPr defaultSize="0" autoFill="0" autoLine="0" autoPict="0">
                <anchor moveWithCells="1">
                  <from>
                    <xdr:col>4</xdr:col>
                    <xdr:colOff>0</xdr:colOff>
                    <xdr:row>766</xdr:row>
                    <xdr:rowOff>142875</xdr:rowOff>
                  </from>
                  <to>
                    <xdr:col>5</xdr:col>
                    <xdr:colOff>95250</xdr:colOff>
                    <xdr:row>768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4" name="Check Box 774">
              <controlPr defaultSize="0" autoFill="0" autoLine="0" autoPict="0">
                <anchor moveWithCells="1">
                  <from>
                    <xdr:col>4</xdr:col>
                    <xdr:colOff>0</xdr:colOff>
                    <xdr:row>767</xdr:row>
                    <xdr:rowOff>142875</xdr:rowOff>
                  </from>
                  <to>
                    <xdr:col>5</xdr:col>
                    <xdr:colOff>95250</xdr:colOff>
                    <xdr:row>769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5" name="Check Box 775">
              <controlPr defaultSize="0" autoFill="0" autoLine="0" autoPict="0">
                <anchor moveWithCells="1">
                  <from>
                    <xdr:col>4</xdr:col>
                    <xdr:colOff>0</xdr:colOff>
                    <xdr:row>768</xdr:row>
                    <xdr:rowOff>142875</xdr:rowOff>
                  </from>
                  <to>
                    <xdr:col>5</xdr:col>
                    <xdr:colOff>95250</xdr:colOff>
                    <xdr:row>770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6" name="Check Box 776">
              <controlPr defaultSize="0" autoFill="0" autoLine="0" autoPict="0">
                <anchor moveWithCells="1">
                  <from>
                    <xdr:col>4</xdr:col>
                    <xdr:colOff>0</xdr:colOff>
                    <xdr:row>769</xdr:row>
                    <xdr:rowOff>142875</xdr:rowOff>
                  </from>
                  <to>
                    <xdr:col>5</xdr:col>
                    <xdr:colOff>95250</xdr:colOff>
                    <xdr:row>771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77" name="Check Box 777">
              <controlPr defaultSize="0" autoFill="0" autoLine="0" autoPict="0">
                <anchor moveWithCells="1">
                  <from>
                    <xdr:col>4</xdr:col>
                    <xdr:colOff>0</xdr:colOff>
                    <xdr:row>770</xdr:row>
                    <xdr:rowOff>142875</xdr:rowOff>
                  </from>
                  <to>
                    <xdr:col>5</xdr:col>
                    <xdr:colOff>95250</xdr:colOff>
                    <xdr:row>772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78" name="Check Box 778">
              <controlPr defaultSize="0" autoFill="0" autoLine="0" autoPict="0">
                <anchor moveWithCells="1">
                  <from>
                    <xdr:col>4</xdr:col>
                    <xdr:colOff>0</xdr:colOff>
                    <xdr:row>771</xdr:row>
                    <xdr:rowOff>142875</xdr:rowOff>
                  </from>
                  <to>
                    <xdr:col>5</xdr:col>
                    <xdr:colOff>95250</xdr:colOff>
                    <xdr:row>773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79" name="Check Box 779">
              <controlPr defaultSize="0" autoFill="0" autoLine="0" autoPict="0">
                <anchor moveWithCells="1">
                  <from>
                    <xdr:col>4</xdr:col>
                    <xdr:colOff>0</xdr:colOff>
                    <xdr:row>772</xdr:row>
                    <xdr:rowOff>142875</xdr:rowOff>
                  </from>
                  <to>
                    <xdr:col>5</xdr:col>
                    <xdr:colOff>95250</xdr:colOff>
                    <xdr:row>774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0" name="Check Box 780">
              <controlPr defaultSize="0" autoFill="0" autoLine="0" autoPict="0">
                <anchor moveWithCells="1">
                  <from>
                    <xdr:col>4</xdr:col>
                    <xdr:colOff>0</xdr:colOff>
                    <xdr:row>773</xdr:row>
                    <xdr:rowOff>142875</xdr:rowOff>
                  </from>
                  <to>
                    <xdr:col>5</xdr:col>
                    <xdr:colOff>95250</xdr:colOff>
                    <xdr:row>775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1" name="Check Box 781">
              <controlPr defaultSize="0" autoFill="0" autoLine="0" autoPict="0">
                <anchor moveWithCells="1">
                  <from>
                    <xdr:col>4</xdr:col>
                    <xdr:colOff>0</xdr:colOff>
                    <xdr:row>774</xdr:row>
                    <xdr:rowOff>142875</xdr:rowOff>
                  </from>
                  <to>
                    <xdr:col>5</xdr:col>
                    <xdr:colOff>95250</xdr:colOff>
                    <xdr:row>776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2" name="Check Box 782">
              <controlPr defaultSize="0" autoFill="0" autoLine="0" autoPict="0">
                <anchor moveWithCells="1">
                  <from>
                    <xdr:col>4</xdr:col>
                    <xdr:colOff>0</xdr:colOff>
                    <xdr:row>775</xdr:row>
                    <xdr:rowOff>142875</xdr:rowOff>
                  </from>
                  <to>
                    <xdr:col>5</xdr:col>
                    <xdr:colOff>95250</xdr:colOff>
                    <xdr:row>777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3" name="Check Box 783">
              <controlPr defaultSize="0" autoFill="0" autoLine="0" autoPict="0">
                <anchor moveWithCells="1">
                  <from>
                    <xdr:col>4</xdr:col>
                    <xdr:colOff>0</xdr:colOff>
                    <xdr:row>776</xdr:row>
                    <xdr:rowOff>142875</xdr:rowOff>
                  </from>
                  <to>
                    <xdr:col>5</xdr:col>
                    <xdr:colOff>95250</xdr:colOff>
                    <xdr:row>778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4" name="Check Box 784">
              <controlPr defaultSize="0" autoFill="0" autoLine="0" autoPict="0">
                <anchor moveWithCells="1">
                  <from>
                    <xdr:col>4</xdr:col>
                    <xdr:colOff>0</xdr:colOff>
                    <xdr:row>777</xdr:row>
                    <xdr:rowOff>142875</xdr:rowOff>
                  </from>
                  <to>
                    <xdr:col>5</xdr:col>
                    <xdr:colOff>95250</xdr:colOff>
                    <xdr:row>779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5" name="Check Box 785">
              <controlPr defaultSize="0" autoFill="0" autoLine="0" autoPict="0">
                <anchor moveWithCells="1">
                  <from>
                    <xdr:col>4</xdr:col>
                    <xdr:colOff>0</xdr:colOff>
                    <xdr:row>778</xdr:row>
                    <xdr:rowOff>142875</xdr:rowOff>
                  </from>
                  <to>
                    <xdr:col>5</xdr:col>
                    <xdr:colOff>95250</xdr:colOff>
                    <xdr:row>780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6" name="Check Box 786">
              <controlPr defaultSize="0" autoFill="0" autoLine="0" autoPict="0">
                <anchor moveWithCells="1">
                  <from>
                    <xdr:col>4</xdr:col>
                    <xdr:colOff>0</xdr:colOff>
                    <xdr:row>779</xdr:row>
                    <xdr:rowOff>142875</xdr:rowOff>
                  </from>
                  <to>
                    <xdr:col>5</xdr:col>
                    <xdr:colOff>95250</xdr:colOff>
                    <xdr:row>781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87" name="Check Box 787">
              <controlPr defaultSize="0" autoFill="0" autoLine="0" autoPict="0">
                <anchor moveWithCells="1">
                  <from>
                    <xdr:col>4</xdr:col>
                    <xdr:colOff>0</xdr:colOff>
                    <xdr:row>780</xdr:row>
                    <xdr:rowOff>142875</xdr:rowOff>
                  </from>
                  <to>
                    <xdr:col>5</xdr:col>
                    <xdr:colOff>95250</xdr:colOff>
                    <xdr:row>782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88" name="Check Box 788">
              <controlPr defaultSize="0" autoFill="0" autoLine="0" autoPict="0">
                <anchor moveWithCells="1">
                  <from>
                    <xdr:col>4</xdr:col>
                    <xdr:colOff>0</xdr:colOff>
                    <xdr:row>781</xdr:row>
                    <xdr:rowOff>142875</xdr:rowOff>
                  </from>
                  <to>
                    <xdr:col>5</xdr:col>
                    <xdr:colOff>95250</xdr:colOff>
                    <xdr:row>783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89" name="Check Box 789">
              <controlPr defaultSize="0" autoFill="0" autoLine="0" autoPict="0">
                <anchor moveWithCells="1">
                  <from>
                    <xdr:col>4</xdr:col>
                    <xdr:colOff>0</xdr:colOff>
                    <xdr:row>782</xdr:row>
                    <xdr:rowOff>142875</xdr:rowOff>
                  </from>
                  <to>
                    <xdr:col>5</xdr:col>
                    <xdr:colOff>95250</xdr:colOff>
                    <xdr:row>784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0" name="Check Box 790">
              <controlPr defaultSize="0" autoFill="0" autoLine="0" autoPict="0">
                <anchor moveWithCells="1">
                  <from>
                    <xdr:col>4</xdr:col>
                    <xdr:colOff>0</xdr:colOff>
                    <xdr:row>783</xdr:row>
                    <xdr:rowOff>142875</xdr:rowOff>
                  </from>
                  <to>
                    <xdr:col>5</xdr:col>
                    <xdr:colOff>95250</xdr:colOff>
                    <xdr:row>785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1" name="Check Box 791">
              <controlPr defaultSize="0" autoFill="0" autoLine="0" autoPict="0">
                <anchor moveWithCells="1">
                  <from>
                    <xdr:col>4</xdr:col>
                    <xdr:colOff>0</xdr:colOff>
                    <xdr:row>784</xdr:row>
                    <xdr:rowOff>142875</xdr:rowOff>
                  </from>
                  <to>
                    <xdr:col>5</xdr:col>
                    <xdr:colOff>95250</xdr:colOff>
                    <xdr:row>786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2" name="Check Box 792">
              <controlPr defaultSize="0" autoFill="0" autoLine="0" autoPict="0">
                <anchor moveWithCells="1">
                  <from>
                    <xdr:col>4</xdr:col>
                    <xdr:colOff>0</xdr:colOff>
                    <xdr:row>785</xdr:row>
                    <xdr:rowOff>142875</xdr:rowOff>
                  </from>
                  <to>
                    <xdr:col>5</xdr:col>
                    <xdr:colOff>95250</xdr:colOff>
                    <xdr:row>787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3" name="Check Box 793">
              <controlPr defaultSize="0" autoFill="0" autoLine="0" autoPict="0">
                <anchor moveWithCells="1">
                  <from>
                    <xdr:col>4</xdr:col>
                    <xdr:colOff>0</xdr:colOff>
                    <xdr:row>786</xdr:row>
                    <xdr:rowOff>142875</xdr:rowOff>
                  </from>
                  <to>
                    <xdr:col>5</xdr:col>
                    <xdr:colOff>95250</xdr:colOff>
                    <xdr:row>788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4" name="Check Box 794">
              <controlPr defaultSize="0" autoFill="0" autoLine="0" autoPict="0">
                <anchor moveWithCells="1">
                  <from>
                    <xdr:col>4</xdr:col>
                    <xdr:colOff>0</xdr:colOff>
                    <xdr:row>787</xdr:row>
                    <xdr:rowOff>142875</xdr:rowOff>
                  </from>
                  <to>
                    <xdr:col>5</xdr:col>
                    <xdr:colOff>95250</xdr:colOff>
                    <xdr:row>789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5" name="Check Box 795">
              <controlPr defaultSize="0" autoFill="0" autoLine="0" autoPict="0">
                <anchor moveWithCells="1">
                  <from>
                    <xdr:col>4</xdr:col>
                    <xdr:colOff>0</xdr:colOff>
                    <xdr:row>788</xdr:row>
                    <xdr:rowOff>142875</xdr:rowOff>
                  </from>
                  <to>
                    <xdr:col>5</xdr:col>
                    <xdr:colOff>95250</xdr:colOff>
                    <xdr:row>790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6" name="Check Box 796">
              <controlPr defaultSize="0" autoFill="0" autoLine="0" autoPict="0">
                <anchor moveWithCells="1">
                  <from>
                    <xdr:col>4</xdr:col>
                    <xdr:colOff>0</xdr:colOff>
                    <xdr:row>789</xdr:row>
                    <xdr:rowOff>142875</xdr:rowOff>
                  </from>
                  <to>
                    <xdr:col>5</xdr:col>
                    <xdr:colOff>95250</xdr:colOff>
                    <xdr:row>791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97" name="Check Box 797">
              <controlPr defaultSize="0" autoFill="0" autoLine="0" autoPict="0">
                <anchor moveWithCells="1">
                  <from>
                    <xdr:col>4</xdr:col>
                    <xdr:colOff>0</xdr:colOff>
                    <xdr:row>790</xdr:row>
                    <xdr:rowOff>142875</xdr:rowOff>
                  </from>
                  <to>
                    <xdr:col>5</xdr:col>
                    <xdr:colOff>95250</xdr:colOff>
                    <xdr:row>792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98" name="Check Box 798">
              <controlPr defaultSize="0" autoFill="0" autoLine="0" autoPict="0">
                <anchor moveWithCells="1">
                  <from>
                    <xdr:col>4</xdr:col>
                    <xdr:colOff>0</xdr:colOff>
                    <xdr:row>791</xdr:row>
                    <xdr:rowOff>142875</xdr:rowOff>
                  </from>
                  <to>
                    <xdr:col>5</xdr:col>
                    <xdr:colOff>95250</xdr:colOff>
                    <xdr:row>793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99" name="Check Box 799">
              <controlPr defaultSize="0" autoFill="0" autoLine="0" autoPict="0">
                <anchor moveWithCells="1">
                  <from>
                    <xdr:col>4</xdr:col>
                    <xdr:colOff>0</xdr:colOff>
                    <xdr:row>792</xdr:row>
                    <xdr:rowOff>142875</xdr:rowOff>
                  </from>
                  <to>
                    <xdr:col>5</xdr:col>
                    <xdr:colOff>95250</xdr:colOff>
                    <xdr:row>794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0" name="Check Box 800">
              <controlPr defaultSize="0" autoFill="0" autoLine="0" autoPict="0">
                <anchor moveWithCells="1">
                  <from>
                    <xdr:col>4</xdr:col>
                    <xdr:colOff>0</xdr:colOff>
                    <xdr:row>793</xdr:row>
                    <xdr:rowOff>142875</xdr:rowOff>
                  </from>
                  <to>
                    <xdr:col>5</xdr:col>
                    <xdr:colOff>95250</xdr:colOff>
                    <xdr:row>795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1" name="Check Box 801">
              <controlPr defaultSize="0" autoFill="0" autoLine="0" autoPict="0">
                <anchor moveWithCells="1">
                  <from>
                    <xdr:col>4</xdr:col>
                    <xdr:colOff>0</xdr:colOff>
                    <xdr:row>794</xdr:row>
                    <xdr:rowOff>142875</xdr:rowOff>
                  </from>
                  <to>
                    <xdr:col>5</xdr:col>
                    <xdr:colOff>95250</xdr:colOff>
                    <xdr:row>796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2" name="Check Box 802">
              <controlPr defaultSize="0" autoFill="0" autoLine="0" autoPict="0">
                <anchor moveWithCells="1">
                  <from>
                    <xdr:col>4</xdr:col>
                    <xdr:colOff>0</xdr:colOff>
                    <xdr:row>795</xdr:row>
                    <xdr:rowOff>142875</xdr:rowOff>
                  </from>
                  <to>
                    <xdr:col>5</xdr:col>
                    <xdr:colOff>95250</xdr:colOff>
                    <xdr:row>797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3" name="Check Box 803">
              <controlPr defaultSize="0" autoFill="0" autoLine="0" autoPict="0">
                <anchor moveWithCells="1">
                  <from>
                    <xdr:col>4</xdr:col>
                    <xdr:colOff>0</xdr:colOff>
                    <xdr:row>796</xdr:row>
                    <xdr:rowOff>142875</xdr:rowOff>
                  </from>
                  <to>
                    <xdr:col>5</xdr:col>
                    <xdr:colOff>95250</xdr:colOff>
                    <xdr:row>798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4" name="Check Box 804">
              <controlPr defaultSize="0" autoFill="0" autoLine="0" autoPict="0">
                <anchor moveWithCells="1">
                  <from>
                    <xdr:col>4</xdr:col>
                    <xdr:colOff>0</xdr:colOff>
                    <xdr:row>797</xdr:row>
                    <xdr:rowOff>142875</xdr:rowOff>
                  </from>
                  <to>
                    <xdr:col>5</xdr:col>
                    <xdr:colOff>95250</xdr:colOff>
                    <xdr:row>799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5" name="Check Box 805">
              <controlPr defaultSize="0" autoFill="0" autoLine="0" autoPict="0">
                <anchor moveWithCells="1">
                  <from>
                    <xdr:col>4</xdr:col>
                    <xdr:colOff>0</xdr:colOff>
                    <xdr:row>798</xdr:row>
                    <xdr:rowOff>142875</xdr:rowOff>
                  </from>
                  <to>
                    <xdr:col>5</xdr:col>
                    <xdr:colOff>95250</xdr:colOff>
                    <xdr:row>800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6" name="Check Box 806">
              <controlPr defaultSize="0" autoFill="0" autoLine="0" autoPict="0">
                <anchor moveWithCells="1">
                  <from>
                    <xdr:col>4</xdr:col>
                    <xdr:colOff>0</xdr:colOff>
                    <xdr:row>799</xdr:row>
                    <xdr:rowOff>142875</xdr:rowOff>
                  </from>
                  <to>
                    <xdr:col>5</xdr:col>
                    <xdr:colOff>95250</xdr:colOff>
                    <xdr:row>801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07" name="Check Box 807">
              <controlPr defaultSize="0" autoFill="0" autoLine="0" autoPict="0">
                <anchor moveWithCells="1">
                  <from>
                    <xdr:col>4</xdr:col>
                    <xdr:colOff>0</xdr:colOff>
                    <xdr:row>800</xdr:row>
                    <xdr:rowOff>142875</xdr:rowOff>
                  </from>
                  <to>
                    <xdr:col>5</xdr:col>
                    <xdr:colOff>95250</xdr:colOff>
                    <xdr:row>802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08" name="Check Box 808">
              <controlPr defaultSize="0" autoFill="0" autoLine="0" autoPict="0">
                <anchor moveWithCells="1">
                  <from>
                    <xdr:col>4</xdr:col>
                    <xdr:colOff>0</xdr:colOff>
                    <xdr:row>801</xdr:row>
                    <xdr:rowOff>142875</xdr:rowOff>
                  </from>
                  <to>
                    <xdr:col>5</xdr:col>
                    <xdr:colOff>95250</xdr:colOff>
                    <xdr:row>803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09" name="Check Box 809">
              <controlPr defaultSize="0" autoFill="0" autoLine="0" autoPict="0">
                <anchor moveWithCells="1">
                  <from>
                    <xdr:col>4</xdr:col>
                    <xdr:colOff>0</xdr:colOff>
                    <xdr:row>802</xdr:row>
                    <xdr:rowOff>142875</xdr:rowOff>
                  </from>
                  <to>
                    <xdr:col>5</xdr:col>
                    <xdr:colOff>95250</xdr:colOff>
                    <xdr:row>804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0" name="Check Box 810">
              <controlPr defaultSize="0" autoFill="0" autoLine="0" autoPict="0">
                <anchor moveWithCells="1">
                  <from>
                    <xdr:col>4</xdr:col>
                    <xdr:colOff>0</xdr:colOff>
                    <xdr:row>803</xdr:row>
                    <xdr:rowOff>142875</xdr:rowOff>
                  </from>
                  <to>
                    <xdr:col>5</xdr:col>
                    <xdr:colOff>95250</xdr:colOff>
                    <xdr:row>805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1" name="Check Box 811">
              <controlPr defaultSize="0" autoFill="0" autoLine="0" autoPict="0">
                <anchor moveWithCells="1">
                  <from>
                    <xdr:col>4</xdr:col>
                    <xdr:colOff>0</xdr:colOff>
                    <xdr:row>804</xdr:row>
                    <xdr:rowOff>142875</xdr:rowOff>
                  </from>
                  <to>
                    <xdr:col>5</xdr:col>
                    <xdr:colOff>95250</xdr:colOff>
                    <xdr:row>806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2" name="Check Box 812">
              <controlPr defaultSize="0" autoFill="0" autoLine="0" autoPict="0">
                <anchor moveWithCells="1">
                  <from>
                    <xdr:col>4</xdr:col>
                    <xdr:colOff>0</xdr:colOff>
                    <xdr:row>805</xdr:row>
                    <xdr:rowOff>142875</xdr:rowOff>
                  </from>
                  <to>
                    <xdr:col>5</xdr:col>
                    <xdr:colOff>95250</xdr:colOff>
                    <xdr:row>807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3" name="Check Box 813">
              <controlPr defaultSize="0" autoFill="0" autoLine="0" autoPict="0">
                <anchor moveWithCells="1">
                  <from>
                    <xdr:col>4</xdr:col>
                    <xdr:colOff>0</xdr:colOff>
                    <xdr:row>806</xdr:row>
                    <xdr:rowOff>142875</xdr:rowOff>
                  </from>
                  <to>
                    <xdr:col>5</xdr:col>
                    <xdr:colOff>95250</xdr:colOff>
                    <xdr:row>808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4" name="Check Box 814">
              <controlPr defaultSize="0" autoFill="0" autoLine="0" autoPict="0">
                <anchor moveWithCells="1">
                  <from>
                    <xdr:col>4</xdr:col>
                    <xdr:colOff>0</xdr:colOff>
                    <xdr:row>807</xdr:row>
                    <xdr:rowOff>142875</xdr:rowOff>
                  </from>
                  <to>
                    <xdr:col>5</xdr:col>
                    <xdr:colOff>95250</xdr:colOff>
                    <xdr:row>809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5" name="Check Box 815">
              <controlPr defaultSize="0" autoFill="0" autoLine="0" autoPict="0">
                <anchor moveWithCells="1">
                  <from>
                    <xdr:col>4</xdr:col>
                    <xdr:colOff>0</xdr:colOff>
                    <xdr:row>808</xdr:row>
                    <xdr:rowOff>142875</xdr:rowOff>
                  </from>
                  <to>
                    <xdr:col>5</xdr:col>
                    <xdr:colOff>95250</xdr:colOff>
                    <xdr:row>810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6" name="Check Box 816">
              <controlPr defaultSize="0" autoFill="0" autoLine="0" autoPict="0">
                <anchor moveWithCells="1">
                  <from>
                    <xdr:col>4</xdr:col>
                    <xdr:colOff>0</xdr:colOff>
                    <xdr:row>809</xdr:row>
                    <xdr:rowOff>142875</xdr:rowOff>
                  </from>
                  <to>
                    <xdr:col>5</xdr:col>
                    <xdr:colOff>95250</xdr:colOff>
                    <xdr:row>811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17" name="Check Box 817">
              <controlPr defaultSize="0" autoFill="0" autoLine="0" autoPict="0">
                <anchor moveWithCells="1">
                  <from>
                    <xdr:col>4</xdr:col>
                    <xdr:colOff>0</xdr:colOff>
                    <xdr:row>810</xdr:row>
                    <xdr:rowOff>142875</xdr:rowOff>
                  </from>
                  <to>
                    <xdr:col>5</xdr:col>
                    <xdr:colOff>95250</xdr:colOff>
                    <xdr:row>812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18" name="Check Box 818">
              <controlPr defaultSize="0" autoFill="0" autoLine="0" autoPict="0">
                <anchor moveWithCells="1">
                  <from>
                    <xdr:col>4</xdr:col>
                    <xdr:colOff>0</xdr:colOff>
                    <xdr:row>811</xdr:row>
                    <xdr:rowOff>142875</xdr:rowOff>
                  </from>
                  <to>
                    <xdr:col>5</xdr:col>
                    <xdr:colOff>95250</xdr:colOff>
                    <xdr:row>813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19" name="Check Box 819">
              <controlPr defaultSize="0" autoFill="0" autoLine="0" autoPict="0">
                <anchor moveWithCells="1">
                  <from>
                    <xdr:col>4</xdr:col>
                    <xdr:colOff>0</xdr:colOff>
                    <xdr:row>812</xdr:row>
                    <xdr:rowOff>142875</xdr:rowOff>
                  </from>
                  <to>
                    <xdr:col>5</xdr:col>
                    <xdr:colOff>95250</xdr:colOff>
                    <xdr:row>814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0" name="Check Box 820">
              <controlPr defaultSize="0" autoFill="0" autoLine="0" autoPict="0">
                <anchor moveWithCells="1">
                  <from>
                    <xdr:col>4</xdr:col>
                    <xdr:colOff>0</xdr:colOff>
                    <xdr:row>813</xdr:row>
                    <xdr:rowOff>142875</xdr:rowOff>
                  </from>
                  <to>
                    <xdr:col>5</xdr:col>
                    <xdr:colOff>95250</xdr:colOff>
                    <xdr:row>815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1" name="Check Box 821">
              <controlPr defaultSize="0" autoFill="0" autoLine="0" autoPict="0">
                <anchor moveWithCells="1">
                  <from>
                    <xdr:col>4</xdr:col>
                    <xdr:colOff>0</xdr:colOff>
                    <xdr:row>814</xdr:row>
                    <xdr:rowOff>142875</xdr:rowOff>
                  </from>
                  <to>
                    <xdr:col>5</xdr:col>
                    <xdr:colOff>95250</xdr:colOff>
                    <xdr:row>816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2" name="Check Box 822">
              <controlPr defaultSize="0" autoFill="0" autoLine="0" autoPict="0">
                <anchor moveWithCells="1">
                  <from>
                    <xdr:col>4</xdr:col>
                    <xdr:colOff>0</xdr:colOff>
                    <xdr:row>815</xdr:row>
                    <xdr:rowOff>142875</xdr:rowOff>
                  </from>
                  <to>
                    <xdr:col>5</xdr:col>
                    <xdr:colOff>95250</xdr:colOff>
                    <xdr:row>817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3" name="Check Box 823">
              <controlPr defaultSize="0" autoFill="0" autoLine="0" autoPict="0">
                <anchor moveWithCells="1">
                  <from>
                    <xdr:col>4</xdr:col>
                    <xdr:colOff>0</xdr:colOff>
                    <xdr:row>816</xdr:row>
                    <xdr:rowOff>142875</xdr:rowOff>
                  </from>
                  <to>
                    <xdr:col>5</xdr:col>
                    <xdr:colOff>95250</xdr:colOff>
                    <xdr:row>818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4" name="Check Box 824">
              <controlPr defaultSize="0" autoFill="0" autoLine="0" autoPict="0">
                <anchor moveWithCells="1">
                  <from>
                    <xdr:col>4</xdr:col>
                    <xdr:colOff>0</xdr:colOff>
                    <xdr:row>817</xdr:row>
                    <xdr:rowOff>142875</xdr:rowOff>
                  </from>
                  <to>
                    <xdr:col>5</xdr:col>
                    <xdr:colOff>95250</xdr:colOff>
                    <xdr:row>819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5" name="Check Box 825">
              <controlPr defaultSize="0" autoFill="0" autoLine="0" autoPict="0">
                <anchor moveWithCells="1">
                  <from>
                    <xdr:col>4</xdr:col>
                    <xdr:colOff>0</xdr:colOff>
                    <xdr:row>818</xdr:row>
                    <xdr:rowOff>142875</xdr:rowOff>
                  </from>
                  <to>
                    <xdr:col>5</xdr:col>
                    <xdr:colOff>95250</xdr:colOff>
                    <xdr:row>820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6" name="Check Box 826">
              <controlPr defaultSize="0" autoFill="0" autoLine="0" autoPict="0">
                <anchor moveWithCells="1">
                  <from>
                    <xdr:col>4</xdr:col>
                    <xdr:colOff>0</xdr:colOff>
                    <xdr:row>819</xdr:row>
                    <xdr:rowOff>142875</xdr:rowOff>
                  </from>
                  <to>
                    <xdr:col>5</xdr:col>
                    <xdr:colOff>95250</xdr:colOff>
                    <xdr:row>821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27" name="Check Box 827">
              <controlPr defaultSize="0" autoFill="0" autoLine="0" autoPict="0">
                <anchor moveWithCells="1">
                  <from>
                    <xdr:col>4</xdr:col>
                    <xdr:colOff>0</xdr:colOff>
                    <xdr:row>820</xdr:row>
                    <xdr:rowOff>142875</xdr:rowOff>
                  </from>
                  <to>
                    <xdr:col>5</xdr:col>
                    <xdr:colOff>95250</xdr:colOff>
                    <xdr:row>822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28" name="Check Box 828">
              <controlPr defaultSize="0" autoFill="0" autoLine="0" autoPict="0">
                <anchor moveWithCells="1">
                  <from>
                    <xdr:col>4</xdr:col>
                    <xdr:colOff>0</xdr:colOff>
                    <xdr:row>821</xdr:row>
                    <xdr:rowOff>142875</xdr:rowOff>
                  </from>
                  <to>
                    <xdr:col>5</xdr:col>
                    <xdr:colOff>95250</xdr:colOff>
                    <xdr:row>823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29" name="Check Box 829">
              <controlPr defaultSize="0" autoFill="0" autoLine="0" autoPict="0">
                <anchor moveWithCells="1">
                  <from>
                    <xdr:col>4</xdr:col>
                    <xdr:colOff>0</xdr:colOff>
                    <xdr:row>822</xdr:row>
                    <xdr:rowOff>142875</xdr:rowOff>
                  </from>
                  <to>
                    <xdr:col>5</xdr:col>
                    <xdr:colOff>95250</xdr:colOff>
                    <xdr:row>824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0" name="Check Box 830">
              <controlPr defaultSize="0" autoFill="0" autoLine="0" autoPict="0">
                <anchor moveWithCells="1">
                  <from>
                    <xdr:col>4</xdr:col>
                    <xdr:colOff>0</xdr:colOff>
                    <xdr:row>823</xdr:row>
                    <xdr:rowOff>142875</xdr:rowOff>
                  </from>
                  <to>
                    <xdr:col>5</xdr:col>
                    <xdr:colOff>95250</xdr:colOff>
                    <xdr:row>825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1" name="Check Box 831">
              <controlPr defaultSize="0" autoFill="0" autoLine="0" autoPict="0">
                <anchor moveWithCells="1">
                  <from>
                    <xdr:col>4</xdr:col>
                    <xdr:colOff>0</xdr:colOff>
                    <xdr:row>824</xdr:row>
                    <xdr:rowOff>142875</xdr:rowOff>
                  </from>
                  <to>
                    <xdr:col>5</xdr:col>
                    <xdr:colOff>95250</xdr:colOff>
                    <xdr:row>826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2" name="Check Box 832">
              <controlPr defaultSize="0" autoFill="0" autoLine="0" autoPict="0">
                <anchor moveWithCells="1">
                  <from>
                    <xdr:col>4</xdr:col>
                    <xdr:colOff>0</xdr:colOff>
                    <xdr:row>825</xdr:row>
                    <xdr:rowOff>142875</xdr:rowOff>
                  </from>
                  <to>
                    <xdr:col>5</xdr:col>
                    <xdr:colOff>95250</xdr:colOff>
                    <xdr:row>827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3" name="Check Box 833">
              <controlPr defaultSize="0" autoFill="0" autoLine="0" autoPict="0">
                <anchor moveWithCells="1">
                  <from>
                    <xdr:col>4</xdr:col>
                    <xdr:colOff>0</xdr:colOff>
                    <xdr:row>826</xdr:row>
                    <xdr:rowOff>142875</xdr:rowOff>
                  </from>
                  <to>
                    <xdr:col>5</xdr:col>
                    <xdr:colOff>95250</xdr:colOff>
                    <xdr:row>828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4" name="Check Box 834">
              <controlPr defaultSize="0" autoFill="0" autoLine="0" autoPict="0">
                <anchor moveWithCells="1">
                  <from>
                    <xdr:col>4</xdr:col>
                    <xdr:colOff>0</xdr:colOff>
                    <xdr:row>827</xdr:row>
                    <xdr:rowOff>142875</xdr:rowOff>
                  </from>
                  <to>
                    <xdr:col>5</xdr:col>
                    <xdr:colOff>95250</xdr:colOff>
                    <xdr:row>829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5" name="Check Box 835">
              <controlPr defaultSize="0" autoFill="0" autoLine="0" autoPict="0">
                <anchor moveWithCells="1">
                  <from>
                    <xdr:col>4</xdr:col>
                    <xdr:colOff>0</xdr:colOff>
                    <xdr:row>828</xdr:row>
                    <xdr:rowOff>142875</xdr:rowOff>
                  </from>
                  <to>
                    <xdr:col>5</xdr:col>
                    <xdr:colOff>95250</xdr:colOff>
                    <xdr:row>830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6" name="Check Box 836">
              <controlPr defaultSize="0" autoFill="0" autoLine="0" autoPict="0">
                <anchor moveWithCells="1">
                  <from>
                    <xdr:col>4</xdr:col>
                    <xdr:colOff>0</xdr:colOff>
                    <xdr:row>829</xdr:row>
                    <xdr:rowOff>142875</xdr:rowOff>
                  </from>
                  <to>
                    <xdr:col>5</xdr:col>
                    <xdr:colOff>95250</xdr:colOff>
                    <xdr:row>831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37" name="Check Box 837">
              <controlPr defaultSize="0" autoFill="0" autoLine="0" autoPict="0">
                <anchor moveWithCells="1">
                  <from>
                    <xdr:col>4</xdr:col>
                    <xdr:colOff>0</xdr:colOff>
                    <xdr:row>830</xdr:row>
                    <xdr:rowOff>142875</xdr:rowOff>
                  </from>
                  <to>
                    <xdr:col>5</xdr:col>
                    <xdr:colOff>95250</xdr:colOff>
                    <xdr:row>832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38" name="Check Box 838">
              <controlPr defaultSize="0" autoFill="0" autoLine="0" autoPict="0">
                <anchor moveWithCells="1">
                  <from>
                    <xdr:col>4</xdr:col>
                    <xdr:colOff>0</xdr:colOff>
                    <xdr:row>831</xdr:row>
                    <xdr:rowOff>142875</xdr:rowOff>
                  </from>
                  <to>
                    <xdr:col>5</xdr:col>
                    <xdr:colOff>95250</xdr:colOff>
                    <xdr:row>833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39" name="Check Box 839">
              <controlPr defaultSize="0" autoFill="0" autoLine="0" autoPict="0">
                <anchor moveWithCells="1">
                  <from>
                    <xdr:col>4</xdr:col>
                    <xdr:colOff>0</xdr:colOff>
                    <xdr:row>832</xdr:row>
                    <xdr:rowOff>142875</xdr:rowOff>
                  </from>
                  <to>
                    <xdr:col>5</xdr:col>
                    <xdr:colOff>95250</xdr:colOff>
                    <xdr:row>834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0" name="Check Box 840">
              <controlPr defaultSize="0" autoFill="0" autoLine="0" autoPict="0">
                <anchor moveWithCells="1">
                  <from>
                    <xdr:col>4</xdr:col>
                    <xdr:colOff>0</xdr:colOff>
                    <xdr:row>833</xdr:row>
                    <xdr:rowOff>142875</xdr:rowOff>
                  </from>
                  <to>
                    <xdr:col>5</xdr:col>
                    <xdr:colOff>95250</xdr:colOff>
                    <xdr:row>835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1" name="Check Box 841">
              <controlPr defaultSize="0" autoFill="0" autoLine="0" autoPict="0">
                <anchor moveWithCells="1">
                  <from>
                    <xdr:col>4</xdr:col>
                    <xdr:colOff>0</xdr:colOff>
                    <xdr:row>834</xdr:row>
                    <xdr:rowOff>142875</xdr:rowOff>
                  </from>
                  <to>
                    <xdr:col>5</xdr:col>
                    <xdr:colOff>95250</xdr:colOff>
                    <xdr:row>836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2" name="Check Box 842">
              <controlPr defaultSize="0" autoFill="0" autoLine="0" autoPict="0">
                <anchor moveWithCells="1">
                  <from>
                    <xdr:col>4</xdr:col>
                    <xdr:colOff>0</xdr:colOff>
                    <xdr:row>835</xdr:row>
                    <xdr:rowOff>142875</xdr:rowOff>
                  </from>
                  <to>
                    <xdr:col>5</xdr:col>
                    <xdr:colOff>95250</xdr:colOff>
                    <xdr:row>837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3" name="Check Box 843">
              <controlPr defaultSize="0" autoFill="0" autoLine="0" autoPict="0">
                <anchor moveWithCells="1">
                  <from>
                    <xdr:col>4</xdr:col>
                    <xdr:colOff>0</xdr:colOff>
                    <xdr:row>836</xdr:row>
                    <xdr:rowOff>142875</xdr:rowOff>
                  </from>
                  <to>
                    <xdr:col>5</xdr:col>
                    <xdr:colOff>95250</xdr:colOff>
                    <xdr:row>838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4" name="Check Box 844">
              <controlPr defaultSize="0" autoFill="0" autoLine="0" autoPict="0">
                <anchor moveWithCells="1">
                  <from>
                    <xdr:col>4</xdr:col>
                    <xdr:colOff>0</xdr:colOff>
                    <xdr:row>837</xdr:row>
                    <xdr:rowOff>142875</xdr:rowOff>
                  </from>
                  <to>
                    <xdr:col>5</xdr:col>
                    <xdr:colOff>95250</xdr:colOff>
                    <xdr:row>839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5" name="Check Box 845">
              <controlPr defaultSize="0" autoFill="0" autoLine="0" autoPict="0">
                <anchor moveWithCells="1">
                  <from>
                    <xdr:col>4</xdr:col>
                    <xdr:colOff>0</xdr:colOff>
                    <xdr:row>838</xdr:row>
                    <xdr:rowOff>142875</xdr:rowOff>
                  </from>
                  <to>
                    <xdr:col>5</xdr:col>
                    <xdr:colOff>95250</xdr:colOff>
                    <xdr:row>840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6" name="Check Box 846">
              <controlPr defaultSize="0" autoFill="0" autoLine="0" autoPict="0">
                <anchor moveWithCells="1">
                  <from>
                    <xdr:col>4</xdr:col>
                    <xdr:colOff>0</xdr:colOff>
                    <xdr:row>839</xdr:row>
                    <xdr:rowOff>142875</xdr:rowOff>
                  </from>
                  <to>
                    <xdr:col>5</xdr:col>
                    <xdr:colOff>95250</xdr:colOff>
                    <xdr:row>841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47" name="Check Box 847">
              <controlPr defaultSize="0" autoFill="0" autoLine="0" autoPict="0">
                <anchor moveWithCells="1">
                  <from>
                    <xdr:col>4</xdr:col>
                    <xdr:colOff>0</xdr:colOff>
                    <xdr:row>840</xdr:row>
                    <xdr:rowOff>142875</xdr:rowOff>
                  </from>
                  <to>
                    <xdr:col>5</xdr:col>
                    <xdr:colOff>95250</xdr:colOff>
                    <xdr:row>842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48" name="Check Box 848">
              <controlPr defaultSize="0" autoFill="0" autoLine="0" autoPict="0">
                <anchor moveWithCells="1">
                  <from>
                    <xdr:col>4</xdr:col>
                    <xdr:colOff>0</xdr:colOff>
                    <xdr:row>841</xdr:row>
                    <xdr:rowOff>142875</xdr:rowOff>
                  </from>
                  <to>
                    <xdr:col>5</xdr:col>
                    <xdr:colOff>95250</xdr:colOff>
                    <xdr:row>843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49" name="Check Box 849">
              <controlPr defaultSize="0" autoFill="0" autoLine="0" autoPict="0">
                <anchor moveWithCells="1">
                  <from>
                    <xdr:col>4</xdr:col>
                    <xdr:colOff>0</xdr:colOff>
                    <xdr:row>842</xdr:row>
                    <xdr:rowOff>142875</xdr:rowOff>
                  </from>
                  <to>
                    <xdr:col>5</xdr:col>
                    <xdr:colOff>95250</xdr:colOff>
                    <xdr:row>844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0" name="Check Box 850">
              <controlPr defaultSize="0" autoFill="0" autoLine="0" autoPict="0">
                <anchor moveWithCells="1">
                  <from>
                    <xdr:col>4</xdr:col>
                    <xdr:colOff>0</xdr:colOff>
                    <xdr:row>843</xdr:row>
                    <xdr:rowOff>142875</xdr:rowOff>
                  </from>
                  <to>
                    <xdr:col>5</xdr:col>
                    <xdr:colOff>95250</xdr:colOff>
                    <xdr:row>845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1" name="Check Box 851">
              <controlPr defaultSize="0" autoFill="0" autoLine="0" autoPict="0">
                <anchor moveWithCells="1">
                  <from>
                    <xdr:col>4</xdr:col>
                    <xdr:colOff>0</xdr:colOff>
                    <xdr:row>844</xdr:row>
                    <xdr:rowOff>142875</xdr:rowOff>
                  </from>
                  <to>
                    <xdr:col>5</xdr:col>
                    <xdr:colOff>95250</xdr:colOff>
                    <xdr:row>846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2" name="Check Box 852">
              <controlPr defaultSize="0" autoFill="0" autoLine="0" autoPict="0">
                <anchor moveWithCells="1">
                  <from>
                    <xdr:col>4</xdr:col>
                    <xdr:colOff>0</xdr:colOff>
                    <xdr:row>845</xdr:row>
                    <xdr:rowOff>142875</xdr:rowOff>
                  </from>
                  <to>
                    <xdr:col>5</xdr:col>
                    <xdr:colOff>95250</xdr:colOff>
                    <xdr:row>847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3" name="Check Box 853">
              <controlPr defaultSize="0" autoFill="0" autoLine="0" autoPict="0">
                <anchor moveWithCells="1">
                  <from>
                    <xdr:col>4</xdr:col>
                    <xdr:colOff>0</xdr:colOff>
                    <xdr:row>846</xdr:row>
                    <xdr:rowOff>142875</xdr:rowOff>
                  </from>
                  <to>
                    <xdr:col>5</xdr:col>
                    <xdr:colOff>95250</xdr:colOff>
                    <xdr:row>848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4" name="Check Box 854">
              <controlPr defaultSize="0" autoFill="0" autoLine="0" autoPict="0">
                <anchor moveWithCells="1">
                  <from>
                    <xdr:col>4</xdr:col>
                    <xdr:colOff>0</xdr:colOff>
                    <xdr:row>847</xdr:row>
                    <xdr:rowOff>142875</xdr:rowOff>
                  </from>
                  <to>
                    <xdr:col>5</xdr:col>
                    <xdr:colOff>95250</xdr:colOff>
                    <xdr:row>849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5" name="Check Box 855">
              <controlPr defaultSize="0" autoFill="0" autoLine="0" autoPict="0">
                <anchor moveWithCells="1">
                  <from>
                    <xdr:col>4</xdr:col>
                    <xdr:colOff>0</xdr:colOff>
                    <xdr:row>848</xdr:row>
                    <xdr:rowOff>142875</xdr:rowOff>
                  </from>
                  <to>
                    <xdr:col>5</xdr:col>
                    <xdr:colOff>95250</xdr:colOff>
                    <xdr:row>850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6" name="Check Box 856">
              <controlPr defaultSize="0" autoFill="0" autoLine="0" autoPict="0">
                <anchor moveWithCells="1">
                  <from>
                    <xdr:col>4</xdr:col>
                    <xdr:colOff>0</xdr:colOff>
                    <xdr:row>849</xdr:row>
                    <xdr:rowOff>142875</xdr:rowOff>
                  </from>
                  <to>
                    <xdr:col>5</xdr:col>
                    <xdr:colOff>95250</xdr:colOff>
                    <xdr:row>851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57" name="Check Box 857">
              <controlPr defaultSize="0" autoFill="0" autoLine="0" autoPict="0">
                <anchor moveWithCells="1">
                  <from>
                    <xdr:col>4</xdr:col>
                    <xdr:colOff>0</xdr:colOff>
                    <xdr:row>850</xdr:row>
                    <xdr:rowOff>142875</xdr:rowOff>
                  </from>
                  <to>
                    <xdr:col>5</xdr:col>
                    <xdr:colOff>95250</xdr:colOff>
                    <xdr:row>852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58" name="Check Box 858">
              <controlPr defaultSize="0" autoFill="0" autoLine="0" autoPict="0">
                <anchor moveWithCells="1">
                  <from>
                    <xdr:col>4</xdr:col>
                    <xdr:colOff>0</xdr:colOff>
                    <xdr:row>851</xdr:row>
                    <xdr:rowOff>142875</xdr:rowOff>
                  </from>
                  <to>
                    <xdr:col>5</xdr:col>
                    <xdr:colOff>95250</xdr:colOff>
                    <xdr:row>853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59" name="Check Box 859">
              <controlPr defaultSize="0" autoFill="0" autoLine="0" autoPict="0">
                <anchor moveWithCells="1">
                  <from>
                    <xdr:col>4</xdr:col>
                    <xdr:colOff>0</xdr:colOff>
                    <xdr:row>852</xdr:row>
                    <xdr:rowOff>142875</xdr:rowOff>
                  </from>
                  <to>
                    <xdr:col>5</xdr:col>
                    <xdr:colOff>95250</xdr:colOff>
                    <xdr:row>854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0" name="Check Box 860">
              <controlPr defaultSize="0" autoFill="0" autoLine="0" autoPict="0">
                <anchor moveWithCells="1">
                  <from>
                    <xdr:col>4</xdr:col>
                    <xdr:colOff>0</xdr:colOff>
                    <xdr:row>853</xdr:row>
                    <xdr:rowOff>142875</xdr:rowOff>
                  </from>
                  <to>
                    <xdr:col>5</xdr:col>
                    <xdr:colOff>95250</xdr:colOff>
                    <xdr:row>855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1" name="Check Box 861">
              <controlPr defaultSize="0" autoFill="0" autoLine="0" autoPict="0">
                <anchor moveWithCells="1">
                  <from>
                    <xdr:col>4</xdr:col>
                    <xdr:colOff>0</xdr:colOff>
                    <xdr:row>854</xdr:row>
                    <xdr:rowOff>142875</xdr:rowOff>
                  </from>
                  <to>
                    <xdr:col>5</xdr:col>
                    <xdr:colOff>95250</xdr:colOff>
                    <xdr:row>856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2" name="Check Box 862">
              <controlPr defaultSize="0" autoFill="0" autoLine="0" autoPict="0">
                <anchor moveWithCells="1">
                  <from>
                    <xdr:col>4</xdr:col>
                    <xdr:colOff>0</xdr:colOff>
                    <xdr:row>855</xdr:row>
                    <xdr:rowOff>142875</xdr:rowOff>
                  </from>
                  <to>
                    <xdr:col>5</xdr:col>
                    <xdr:colOff>95250</xdr:colOff>
                    <xdr:row>857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3" name="Check Box 863">
              <controlPr defaultSize="0" autoFill="0" autoLine="0" autoPict="0">
                <anchor moveWithCells="1">
                  <from>
                    <xdr:col>4</xdr:col>
                    <xdr:colOff>0</xdr:colOff>
                    <xdr:row>856</xdr:row>
                    <xdr:rowOff>142875</xdr:rowOff>
                  </from>
                  <to>
                    <xdr:col>5</xdr:col>
                    <xdr:colOff>95250</xdr:colOff>
                    <xdr:row>858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4" name="Check Box 864">
              <controlPr defaultSize="0" autoFill="0" autoLine="0" autoPict="0">
                <anchor moveWithCells="1">
                  <from>
                    <xdr:col>4</xdr:col>
                    <xdr:colOff>0</xdr:colOff>
                    <xdr:row>857</xdr:row>
                    <xdr:rowOff>142875</xdr:rowOff>
                  </from>
                  <to>
                    <xdr:col>5</xdr:col>
                    <xdr:colOff>95250</xdr:colOff>
                    <xdr:row>859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5" name="Check Box 865">
              <controlPr defaultSize="0" autoFill="0" autoLine="0" autoPict="0">
                <anchor moveWithCells="1">
                  <from>
                    <xdr:col>4</xdr:col>
                    <xdr:colOff>0</xdr:colOff>
                    <xdr:row>858</xdr:row>
                    <xdr:rowOff>142875</xdr:rowOff>
                  </from>
                  <to>
                    <xdr:col>5</xdr:col>
                    <xdr:colOff>95250</xdr:colOff>
                    <xdr:row>860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6" name="Check Box 866">
              <controlPr defaultSize="0" autoFill="0" autoLine="0" autoPict="0">
                <anchor moveWithCells="1">
                  <from>
                    <xdr:col>4</xdr:col>
                    <xdr:colOff>0</xdr:colOff>
                    <xdr:row>859</xdr:row>
                    <xdr:rowOff>142875</xdr:rowOff>
                  </from>
                  <to>
                    <xdr:col>5</xdr:col>
                    <xdr:colOff>95250</xdr:colOff>
                    <xdr:row>861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67" name="Check Box 867">
              <controlPr defaultSize="0" autoFill="0" autoLine="0" autoPict="0">
                <anchor moveWithCells="1">
                  <from>
                    <xdr:col>4</xdr:col>
                    <xdr:colOff>0</xdr:colOff>
                    <xdr:row>860</xdr:row>
                    <xdr:rowOff>142875</xdr:rowOff>
                  </from>
                  <to>
                    <xdr:col>5</xdr:col>
                    <xdr:colOff>95250</xdr:colOff>
                    <xdr:row>862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68" name="Check Box 868">
              <controlPr defaultSize="0" autoFill="0" autoLine="0" autoPict="0">
                <anchor moveWithCells="1">
                  <from>
                    <xdr:col>4</xdr:col>
                    <xdr:colOff>0</xdr:colOff>
                    <xdr:row>861</xdr:row>
                    <xdr:rowOff>142875</xdr:rowOff>
                  </from>
                  <to>
                    <xdr:col>5</xdr:col>
                    <xdr:colOff>95250</xdr:colOff>
                    <xdr:row>863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69" name="Check Box 869">
              <controlPr defaultSize="0" autoFill="0" autoLine="0" autoPict="0">
                <anchor moveWithCells="1">
                  <from>
                    <xdr:col>4</xdr:col>
                    <xdr:colOff>0</xdr:colOff>
                    <xdr:row>862</xdr:row>
                    <xdr:rowOff>142875</xdr:rowOff>
                  </from>
                  <to>
                    <xdr:col>5</xdr:col>
                    <xdr:colOff>95250</xdr:colOff>
                    <xdr:row>864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0" name="Check Box 870">
              <controlPr defaultSize="0" autoFill="0" autoLine="0" autoPict="0">
                <anchor moveWithCells="1">
                  <from>
                    <xdr:col>4</xdr:col>
                    <xdr:colOff>0</xdr:colOff>
                    <xdr:row>863</xdr:row>
                    <xdr:rowOff>142875</xdr:rowOff>
                  </from>
                  <to>
                    <xdr:col>5</xdr:col>
                    <xdr:colOff>95250</xdr:colOff>
                    <xdr:row>865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1" name="Check Box 871">
              <controlPr defaultSize="0" autoFill="0" autoLine="0" autoPict="0">
                <anchor moveWithCells="1">
                  <from>
                    <xdr:col>4</xdr:col>
                    <xdr:colOff>0</xdr:colOff>
                    <xdr:row>864</xdr:row>
                    <xdr:rowOff>142875</xdr:rowOff>
                  </from>
                  <to>
                    <xdr:col>5</xdr:col>
                    <xdr:colOff>95250</xdr:colOff>
                    <xdr:row>866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2" name="Check Box 872">
              <controlPr defaultSize="0" autoFill="0" autoLine="0" autoPict="0">
                <anchor moveWithCells="1">
                  <from>
                    <xdr:col>4</xdr:col>
                    <xdr:colOff>0</xdr:colOff>
                    <xdr:row>865</xdr:row>
                    <xdr:rowOff>142875</xdr:rowOff>
                  </from>
                  <to>
                    <xdr:col>5</xdr:col>
                    <xdr:colOff>95250</xdr:colOff>
                    <xdr:row>867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3" name="Check Box 873">
              <controlPr defaultSize="0" autoFill="0" autoLine="0" autoPict="0">
                <anchor moveWithCells="1">
                  <from>
                    <xdr:col>4</xdr:col>
                    <xdr:colOff>0</xdr:colOff>
                    <xdr:row>866</xdr:row>
                    <xdr:rowOff>142875</xdr:rowOff>
                  </from>
                  <to>
                    <xdr:col>5</xdr:col>
                    <xdr:colOff>95250</xdr:colOff>
                    <xdr:row>868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4" name="Check Box 874">
              <controlPr defaultSize="0" autoFill="0" autoLine="0" autoPict="0">
                <anchor moveWithCells="1">
                  <from>
                    <xdr:col>4</xdr:col>
                    <xdr:colOff>0</xdr:colOff>
                    <xdr:row>867</xdr:row>
                    <xdr:rowOff>142875</xdr:rowOff>
                  </from>
                  <to>
                    <xdr:col>5</xdr:col>
                    <xdr:colOff>95250</xdr:colOff>
                    <xdr:row>869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5" name="Check Box 875">
              <controlPr defaultSize="0" autoFill="0" autoLine="0" autoPict="0">
                <anchor moveWithCells="1">
                  <from>
                    <xdr:col>4</xdr:col>
                    <xdr:colOff>0</xdr:colOff>
                    <xdr:row>868</xdr:row>
                    <xdr:rowOff>142875</xdr:rowOff>
                  </from>
                  <to>
                    <xdr:col>5</xdr:col>
                    <xdr:colOff>95250</xdr:colOff>
                    <xdr:row>870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6" name="Check Box 876">
              <controlPr defaultSize="0" autoFill="0" autoLine="0" autoPict="0">
                <anchor moveWithCells="1">
                  <from>
                    <xdr:col>4</xdr:col>
                    <xdr:colOff>0</xdr:colOff>
                    <xdr:row>869</xdr:row>
                    <xdr:rowOff>142875</xdr:rowOff>
                  </from>
                  <to>
                    <xdr:col>5</xdr:col>
                    <xdr:colOff>95250</xdr:colOff>
                    <xdr:row>871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77" name="Check Box 877">
              <controlPr defaultSize="0" autoFill="0" autoLine="0" autoPict="0">
                <anchor moveWithCells="1">
                  <from>
                    <xdr:col>4</xdr:col>
                    <xdr:colOff>0</xdr:colOff>
                    <xdr:row>870</xdr:row>
                    <xdr:rowOff>142875</xdr:rowOff>
                  </from>
                  <to>
                    <xdr:col>5</xdr:col>
                    <xdr:colOff>95250</xdr:colOff>
                    <xdr:row>872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78" name="Check Box 878">
              <controlPr defaultSize="0" autoFill="0" autoLine="0" autoPict="0">
                <anchor moveWithCells="1">
                  <from>
                    <xdr:col>4</xdr:col>
                    <xdr:colOff>0</xdr:colOff>
                    <xdr:row>871</xdr:row>
                    <xdr:rowOff>142875</xdr:rowOff>
                  </from>
                  <to>
                    <xdr:col>5</xdr:col>
                    <xdr:colOff>95250</xdr:colOff>
                    <xdr:row>873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79" name="Check Box 879">
              <controlPr defaultSize="0" autoFill="0" autoLine="0" autoPict="0">
                <anchor moveWithCells="1">
                  <from>
                    <xdr:col>4</xdr:col>
                    <xdr:colOff>0</xdr:colOff>
                    <xdr:row>872</xdr:row>
                    <xdr:rowOff>142875</xdr:rowOff>
                  </from>
                  <to>
                    <xdr:col>5</xdr:col>
                    <xdr:colOff>95250</xdr:colOff>
                    <xdr:row>874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0" name="Check Box 880">
              <controlPr defaultSize="0" autoFill="0" autoLine="0" autoPict="0">
                <anchor moveWithCells="1">
                  <from>
                    <xdr:col>4</xdr:col>
                    <xdr:colOff>0</xdr:colOff>
                    <xdr:row>873</xdr:row>
                    <xdr:rowOff>142875</xdr:rowOff>
                  </from>
                  <to>
                    <xdr:col>5</xdr:col>
                    <xdr:colOff>95250</xdr:colOff>
                    <xdr:row>875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1" name="Check Box 881">
              <controlPr defaultSize="0" autoFill="0" autoLine="0" autoPict="0">
                <anchor moveWithCells="1">
                  <from>
                    <xdr:col>4</xdr:col>
                    <xdr:colOff>0</xdr:colOff>
                    <xdr:row>874</xdr:row>
                    <xdr:rowOff>142875</xdr:rowOff>
                  </from>
                  <to>
                    <xdr:col>5</xdr:col>
                    <xdr:colOff>95250</xdr:colOff>
                    <xdr:row>876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2" name="Check Box 882">
              <controlPr defaultSize="0" autoFill="0" autoLine="0" autoPict="0">
                <anchor moveWithCells="1">
                  <from>
                    <xdr:col>4</xdr:col>
                    <xdr:colOff>0</xdr:colOff>
                    <xdr:row>875</xdr:row>
                    <xdr:rowOff>142875</xdr:rowOff>
                  </from>
                  <to>
                    <xdr:col>5</xdr:col>
                    <xdr:colOff>95250</xdr:colOff>
                    <xdr:row>877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3" name="Check Box 883">
              <controlPr defaultSize="0" autoFill="0" autoLine="0" autoPict="0">
                <anchor moveWithCells="1">
                  <from>
                    <xdr:col>4</xdr:col>
                    <xdr:colOff>0</xdr:colOff>
                    <xdr:row>876</xdr:row>
                    <xdr:rowOff>142875</xdr:rowOff>
                  </from>
                  <to>
                    <xdr:col>5</xdr:col>
                    <xdr:colOff>95250</xdr:colOff>
                    <xdr:row>878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4" name="Check Box 884">
              <controlPr defaultSize="0" autoFill="0" autoLine="0" autoPict="0">
                <anchor moveWithCells="1">
                  <from>
                    <xdr:col>4</xdr:col>
                    <xdr:colOff>0</xdr:colOff>
                    <xdr:row>877</xdr:row>
                    <xdr:rowOff>142875</xdr:rowOff>
                  </from>
                  <to>
                    <xdr:col>5</xdr:col>
                    <xdr:colOff>95250</xdr:colOff>
                    <xdr:row>879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5" name="Check Box 885">
              <controlPr defaultSize="0" autoFill="0" autoLine="0" autoPict="0">
                <anchor moveWithCells="1">
                  <from>
                    <xdr:col>4</xdr:col>
                    <xdr:colOff>0</xdr:colOff>
                    <xdr:row>878</xdr:row>
                    <xdr:rowOff>142875</xdr:rowOff>
                  </from>
                  <to>
                    <xdr:col>5</xdr:col>
                    <xdr:colOff>95250</xdr:colOff>
                    <xdr:row>880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6" name="Check Box 886">
              <controlPr defaultSize="0" autoFill="0" autoLine="0" autoPict="0">
                <anchor moveWithCells="1">
                  <from>
                    <xdr:col>4</xdr:col>
                    <xdr:colOff>0</xdr:colOff>
                    <xdr:row>879</xdr:row>
                    <xdr:rowOff>142875</xdr:rowOff>
                  </from>
                  <to>
                    <xdr:col>5</xdr:col>
                    <xdr:colOff>95250</xdr:colOff>
                    <xdr:row>881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7" name="Check Box 887">
              <controlPr defaultSize="0" autoFill="0" autoLine="0" autoPict="0">
                <anchor moveWithCells="1">
                  <from>
                    <xdr:col>4</xdr:col>
                    <xdr:colOff>0</xdr:colOff>
                    <xdr:row>880</xdr:row>
                    <xdr:rowOff>142875</xdr:rowOff>
                  </from>
                  <to>
                    <xdr:col>5</xdr:col>
                    <xdr:colOff>95250</xdr:colOff>
                    <xdr:row>882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88" name="Check Box 888">
              <controlPr defaultSize="0" autoFill="0" autoLine="0" autoPict="0">
                <anchor moveWithCells="1">
                  <from>
                    <xdr:col>4</xdr:col>
                    <xdr:colOff>0</xdr:colOff>
                    <xdr:row>881</xdr:row>
                    <xdr:rowOff>142875</xdr:rowOff>
                  </from>
                  <to>
                    <xdr:col>5</xdr:col>
                    <xdr:colOff>95250</xdr:colOff>
                    <xdr:row>883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89" name="Check Box 889">
              <controlPr defaultSize="0" autoFill="0" autoLine="0" autoPict="0">
                <anchor moveWithCells="1">
                  <from>
                    <xdr:col>4</xdr:col>
                    <xdr:colOff>0</xdr:colOff>
                    <xdr:row>882</xdr:row>
                    <xdr:rowOff>142875</xdr:rowOff>
                  </from>
                  <to>
                    <xdr:col>5</xdr:col>
                    <xdr:colOff>95250</xdr:colOff>
                    <xdr:row>884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0" name="Check Box 890">
              <controlPr defaultSize="0" autoFill="0" autoLine="0" autoPict="0">
                <anchor moveWithCells="1">
                  <from>
                    <xdr:col>4</xdr:col>
                    <xdr:colOff>0</xdr:colOff>
                    <xdr:row>883</xdr:row>
                    <xdr:rowOff>142875</xdr:rowOff>
                  </from>
                  <to>
                    <xdr:col>5</xdr:col>
                    <xdr:colOff>95250</xdr:colOff>
                    <xdr:row>885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1" name="Check Box 891">
              <controlPr defaultSize="0" autoFill="0" autoLine="0" autoPict="0">
                <anchor moveWithCells="1">
                  <from>
                    <xdr:col>4</xdr:col>
                    <xdr:colOff>0</xdr:colOff>
                    <xdr:row>884</xdr:row>
                    <xdr:rowOff>142875</xdr:rowOff>
                  </from>
                  <to>
                    <xdr:col>5</xdr:col>
                    <xdr:colOff>95250</xdr:colOff>
                    <xdr:row>886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2" name="Check Box 892">
              <controlPr defaultSize="0" autoFill="0" autoLine="0" autoPict="0">
                <anchor moveWithCells="1">
                  <from>
                    <xdr:col>4</xdr:col>
                    <xdr:colOff>0</xdr:colOff>
                    <xdr:row>885</xdr:row>
                    <xdr:rowOff>142875</xdr:rowOff>
                  </from>
                  <to>
                    <xdr:col>5</xdr:col>
                    <xdr:colOff>95250</xdr:colOff>
                    <xdr:row>887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3" name="Check Box 893">
              <controlPr defaultSize="0" autoFill="0" autoLine="0" autoPict="0">
                <anchor moveWithCells="1">
                  <from>
                    <xdr:col>4</xdr:col>
                    <xdr:colOff>0</xdr:colOff>
                    <xdr:row>886</xdr:row>
                    <xdr:rowOff>142875</xdr:rowOff>
                  </from>
                  <to>
                    <xdr:col>5</xdr:col>
                    <xdr:colOff>95250</xdr:colOff>
                    <xdr:row>888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4" name="Check Box 894">
              <controlPr defaultSize="0" autoFill="0" autoLine="0" autoPict="0">
                <anchor moveWithCells="1">
                  <from>
                    <xdr:col>4</xdr:col>
                    <xdr:colOff>0</xdr:colOff>
                    <xdr:row>887</xdr:row>
                    <xdr:rowOff>142875</xdr:rowOff>
                  </from>
                  <to>
                    <xdr:col>5</xdr:col>
                    <xdr:colOff>95250</xdr:colOff>
                    <xdr:row>889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5" name="Check Box 895">
              <controlPr defaultSize="0" autoFill="0" autoLine="0" autoPict="0">
                <anchor moveWithCells="1">
                  <from>
                    <xdr:col>4</xdr:col>
                    <xdr:colOff>0</xdr:colOff>
                    <xdr:row>888</xdr:row>
                    <xdr:rowOff>142875</xdr:rowOff>
                  </from>
                  <to>
                    <xdr:col>5</xdr:col>
                    <xdr:colOff>95250</xdr:colOff>
                    <xdr:row>890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6" name="Check Box 896">
              <controlPr defaultSize="0" autoFill="0" autoLine="0" autoPict="0">
                <anchor moveWithCells="1">
                  <from>
                    <xdr:col>4</xdr:col>
                    <xdr:colOff>0</xdr:colOff>
                    <xdr:row>889</xdr:row>
                    <xdr:rowOff>142875</xdr:rowOff>
                  </from>
                  <to>
                    <xdr:col>5</xdr:col>
                    <xdr:colOff>95250</xdr:colOff>
                    <xdr:row>891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97" name="Check Box 897">
              <controlPr defaultSize="0" autoFill="0" autoLine="0" autoPict="0">
                <anchor moveWithCells="1">
                  <from>
                    <xdr:col>4</xdr:col>
                    <xdr:colOff>0</xdr:colOff>
                    <xdr:row>890</xdr:row>
                    <xdr:rowOff>142875</xdr:rowOff>
                  </from>
                  <to>
                    <xdr:col>5</xdr:col>
                    <xdr:colOff>95250</xdr:colOff>
                    <xdr:row>892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98" name="Check Box 898">
              <controlPr defaultSize="0" autoFill="0" autoLine="0" autoPict="0">
                <anchor moveWithCells="1">
                  <from>
                    <xdr:col>4</xdr:col>
                    <xdr:colOff>0</xdr:colOff>
                    <xdr:row>891</xdr:row>
                    <xdr:rowOff>142875</xdr:rowOff>
                  </from>
                  <to>
                    <xdr:col>5</xdr:col>
                    <xdr:colOff>95250</xdr:colOff>
                    <xdr:row>893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99" name="Check Box 899">
              <controlPr defaultSize="0" autoFill="0" autoLine="0" autoPict="0">
                <anchor moveWithCells="1">
                  <from>
                    <xdr:col>4</xdr:col>
                    <xdr:colOff>0</xdr:colOff>
                    <xdr:row>892</xdr:row>
                    <xdr:rowOff>142875</xdr:rowOff>
                  </from>
                  <to>
                    <xdr:col>5</xdr:col>
                    <xdr:colOff>95250</xdr:colOff>
                    <xdr:row>894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0" name="Check Box 900">
              <controlPr defaultSize="0" autoFill="0" autoLine="0" autoPict="0">
                <anchor moveWithCells="1">
                  <from>
                    <xdr:col>4</xdr:col>
                    <xdr:colOff>0</xdr:colOff>
                    <xdr:row>893</xdr:row>
                    <xdr:rowOff>142875</xdr:rowOff>
                  </from>
                  <to>
                    <xdr:col>5</xdr:col>
                    <xdr:colOff>95250</xdr:colOff>
                    <xdr:row>895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1" name="Check Box 901">
              <controlPr defaultSize="0" autoFill="0" autoLine="0" autoPict="0">
                <anchor moveWithCells="1">
                  <from>
                    <xdr:col>4</xdr:col>
                    <xdr:colOff>0</xdr:colOff>
                    <xdr:row>894</xdr:row>
                    <xdr:rowOff>142875</xdr:rowOff>
                  </from>
                  <to>
                    <xdr:col>5</xdr:col>
                    <xdr:colOff>95250</xdr:colOff>
                    <xdr:row>896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2" name="Check Box 902">
              <controlPr defaultSize="0" autoFill="0" autoLine="0" autoPict="0">
                <anchor moveWithCells="1">
                  <from>
                    <xdr:col>4</xdr:col>
                    <xdr:colOff>0</xdr:colOff>
                    <xdr:row>895</xdr:row>
                    <xdr:rowOff>142875</xdr:rowOff>
                  </from>
                  <to>
                    <xdr:col>5</xdr:col>
                    <xdr:colOff>95250</xdr:colOff>
                    <xdr:row>897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3" name="Check Box 903">
              <controlPr defaultSize="0" autoFill="0" autoLine="0" autoPict="0">
                <anchor moveWithCells="1">
                  <from>
                    <xdr:col>4</xdr:col>
                    <xdr:colOff>0</xdr:colOff>
                    <xdr:row>896</xdr:row>
                    <xdr:rowOff>142875</xdr:rowOff>
                  </from>
                  <to>
                    <xdr:col>5</xdr:col>
                    <xdr:colOff>95250</xdr:colOff>
                    <xdr:row>898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4" name="Check Box 904">
              <controlPr defaultSize="0" autoFill="0" autoLine="0" autoPict="0">
                <anchor moveWithCells="1">
                  <from>
                    <xdr:col>4</xdr:col>
                    <xdr:colOff>0</xdr:colOff>
                    <xdr:row>897</xdr:row>
                    <xdr:rowOff>142875</xdr:rowOff>
                  </from>
                  <to>
                    <xdr:col>5</xdr:col>
                    <xdr:colOff>95250</xdr:colOff>
                    <xdr:row>899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5" name="Check Box 905">
              <controlPr defaultSize="0" autoFill="0" autoLine="0" autoPict="0">
                <anchor moveWithCells="1">
                  <from>
                    <xdr:col>4</xdr:col>
                    <xdr:colOff>0</xdr:colOff>
                    <xdr:row>898</xdr:row>
                    <xdr:rowOff>142875</xdr:rowOff>
                  </from>
                  <to>
                    <xdr:col>5</xdr:col>
                    <xdr:colOff>95250</xdr:colOff>
                    <xdr:row>900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6" name="Check Box 906">
              <controlPr defaultSize="0" autoFill="0" autoLine="0" autoPict="0">
                <anchor moveWithCells="1">
                  <from>
                    <xdr:col>4</xdr:col>
                    <xdr:colOff>0</xdr:colOff>
                    <xdr:row>899</xdr:row>
                    <xdr:rowOff>142875</xdr:rowOff>
                  </from>
                  <to>
                    <xdr:col>5</xdr:col>
                    <xdr:colOff>95250</xdr:colOff>
                    <xdr:row>901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07" name="Check Box 907">
              <controlPr defaultSize="0" autoFill="0" autoLine="0" autoPict="0">
                <anchor moveWithCells="1">
                  <from>
                    <xdr:col>4</xdr:col>
                    <xdr:colOff>0</xdr:colOff>
                    <xdr:row>900</xdr:row>
                    <xdr:rowOff>142875</xdr:rowOff>
                  </from>
                  <to>
                    <xdr:col>5</xdr:col>
                    <xdr:colOff>95250</xdr:colOff>
                    <xdr:row>902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08" name="Check Box 908">
              <controlPr defaultSize="0" autoFill="0" autoLine="0" autoPict="0">
                <anchor moveWithCells="1">
                  <from>
                    <xdr:col>4</xdr:col>
                    <xdr:colOff>0</xdr:colOff>
                    <xdr:row>901</xdr:row>
                    <xdr:rowOff>142875</xdr:rowOff>
                  </from>
                  <to>
                    <xdr:col>5</xdr:col>
                    <xdr:colOff>95250</xdr:colOff>
                    <xdr:row>903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09" name="Check Box 909">
              <controlPr defaultSize="0" autoFill="0" autoLine="0" autoPict="0">
                <anchor moveWithCells="1">
                  <from>
                    <xdr:col>4</xdr:col>
                    <xdr:colOff>0</xdr:colOff>
                    <xdr:row>902</xdr:row>
                    <xdr:rowOff>142875</xdr:rowOff>
                  </from>
                  <to>
                    <xdr:col>5</xdr:col>
                    <xdr:colOff>95250</xdr:colOff>
                    <xdr:row>904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0" name="Check Box 910">
              <controlPr defaultSize="0" autoFill="0" autoLine="0" autoPict="0">
                <anchor moveWithCells="1">
                  <from>
                    <xdr:col>4</xdr:col>
                    <xdr:colOff>0</xdr:colOff>
                    <xdr:row>903</xdr:row>
                    <xdr:rowOff>142875</xdr:rowOff>
                  </from>
                  <to>
                    <xdr:col>5</xdr:col>
                    <xdr:colOff>95250</xdr:colOff>
                    <xdr:row>905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1" name="Check Box 911">
              <controlPr defaultSize="0" autoFill="0" autoLine="0" autoPict="0">
                <anchor moveWithCells="1">
                  <from>
                    <xdr:col>4</xdr:col>
                    <xdr:colOff>0</xdr:colOff>
                    <xdr:row>904</xdr:row>
                    <xdr:rowOff>142875</xdr:rowOff>
                  </from>
                  <to>
                    <xdr:col>5</xdr:col>
                    <xdr:colOff>95250</xdr:colOff>
                    <xdr:row>906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2" name="Check Box 912">
              <controlPr defaultSize="0" autoFill="0" autoLine="0" autoPict="0">
                <anchor moveWithCells="1">
                  <from>
                    <xdr:col>4</xdr:col>
                    <xdr:colOff>0</xdr:colOff>
                    <xdr:row>905</xdr:row>
                    <xdr:rowOff>142875</xdr:rowOff>
                  </from>
                  <to>
                    <xdr:col>5</xdr:col>
                    <xdr:colOff>95250</xdr:colOff>
                    <xdr:row>907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3" name="Check Box 913">
              <controlPr defaultSize="0" autoFill="0" autoLine="0" autoPict="0">
                <anchor moveWithCells="1">
                  <from>
                    <xdr:col>4</xdr:col>
                    <xdr:colOff>0</xdr:colOff>
                    <xdr:row>906</xdr:row>
                    <xdr:rowOff>142875</xdr:rowOff>
                  </from>
                  <to>
                    <xdr:col>5</xdr:col>
                    <xdr:colOff>95250</xdr:colOff>
                    <xdr:row>908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4" name="Check Box 914">
              <controlPr defaultSize="0" autoFill="0" autoLine="0" autoPict="0">
                <anchor moveWithCells="1">
                  <from>
                    <xdr:col>4</xdr:col>
                    <xdr:colOff>0</xdr:colOff>
                    <xdr:row>907</xdr:row>
                    <xdr:rowOff>142875</xdr:rowOff>
                  </from>
                  <to>
                    <xdr:col>5</xdr:col>
                    <xdr:colOff>95250</xdr:colOff>
                    <xdr:row>909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5" name="Check Box 915">
              <controlPr defaultSize="0" autoFill="0" autoLine="0" autoPict="0">
                <anchor moveWithCells="1">
                  <from>
                    <xdr:col>4</xdr:col>
                    <xdr:colOff>0</xdr:colOff>
                    <xdr:row>908</xdr:row>
                    <xdr:rowOff>142875</xdr:rowOff>
                  </from>
                  <to>
                    <xdr:col>5</xdr:col>
                    <xdr:colOff>95250</xdr:colOff>
                    <xdr:row>910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6" name="Check Box 916">
              <controlPr defaultSize="0" autoFill="0" autoLine="0" autoPict="0">
                <anchor moveWithCells="1">
                  <from>
                    <xdr:col>4</xdr:col>
                    <xdr:colOff>0</xdr:colOff>
                    <xdr:row>909</xdr:row>
                    <xdr:rowOff>142875</xdr:rowOff>
                  </from>
                  <to>
                    <xdr:col>5</xdr:col>
                    <xdr:colOff>95250</xdr:colOff>
                    <xdr:row>911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17" name="Check Box 917">
              <controlPr defaultSize="0" autoFill="0" autoLine="0" autoPict="0">
                <anchor moveWithCells="1">
                  <from>
                    <xdr:col>4</xdr:col>
                    <xdr:colOff>0</xdr:colOff>
                    <xdr:row>910</xdr:row>
                    <xdr:rowOff>142875</xdr:rowOff>
                  </from>
                  <to>
                    <xdr:col>5</xdr:col>
                    <xdr:colOff>95250</xdr:colOff>
                    <xdr:row>912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18" name="Check Box 918">
              <controlPr defaultSize="0" autoFill="0" autoLine="0" autoPict="0">
                <anchor moveWithCells="1">
                  <from>
                    <xdr:col>4</xdr:col>
                    <xdr:colOff>0</xdr:colOff>
                    <xdr:row>911</xdr:row>
                    <xdr:rowOff>142875</xdr:rowOff>
                  </from>
                  <to>
                    <xdr:col>5</xdr:col>
                    <xdr:colOff>95250</xdr:colOff>
                    <xdr:row>913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19" name="Check Box 919">
              <controlPr defaultSize="0" autoFill="0" autoLine="0" autoPict="0">
                <anchor moveWithCells="1">
                  <from>
                    <xdr:col>4</xdr:col>
                    <xdr:colOff>0</xdr:colOff>
                    <xdr:row>912</xdr:row>
                    <xdr:rowOff>142875</xdr:rowOff>
                  </from>
                  <to>
                    <xdr:col>5</xdr:col>
                    <xdr:colOff>95250</xdr:colOff>
                    <xdr:row>914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0" name="Check Box 920">
              <controlPr defaultSize="0" autoFill="0" autoLine="0" autoPict="0">
                <anchor moveWithCells="1">
                  <from>
                    <xdr:col>4</xdr:col>
                    <xdr:colOff>0</xdr:colOff>
                    <xdr:row>913</xdr:row>
                    <xdr:rowOff>142875</xdr:rowOff>
                  </from>
                  <to>
                    <xdr:col>5</xdr:col>
                    <xdr:colOff>95250</xdr:colOff>
                    <xdr:row>915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1" name="Check Box 921">
              <controlPr defaultSize="0" autoFill="0" autoLine="0" autoPict="0">
                <anchor moveWithCells="1">
                  <from>
                    <xdr:col>4</xdr:col>
                    <xdr:colOff>0</xdr:colOff>
                    <xdr:row>914</xdr:row>
                    <xdr:rowOff>142875</xdr:rowOff>
                  </from>
                  <to>
                    <xdr:col>5</xdr:col>
                    <xdr:colOff>95250</xdr:colOff>
                    <xdr:row>916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2" name="Check Box 922">
              <controlPr defaultSize="0" autoFill="0" autoLine="0" autoPict="0">
                <anchor moveWithCells="1">
                  <from>
                    <xdr:col>4</xdr:col>
                    <xdr:colOff>0</xdr:colOff>
                    <xdr:row>915</xdr:row>
                    <xdr:rowOff>142875</xdr:rowOff>
                  </from>
                  <to>
                    <xdr:col>5</xdr:col>
                    <xdr:colOff>95250</xdr:colOff>
                    <xdr:row>917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3" name="Check Box 923">
              <controlPr defaultSize="0" autoFill="0" autoLine="0" autoPict="0">
                <anchor moveWithCells="1">
                  <from>
                    <xdr:col>4</xdr:col>
                    <xdr:colOff>0</xdr:colOff>
                    <xdr:row>916</xdr:row>
                    <xdr:rowOff>142875</xdr:rowOff>
                  </from>
                  <to>
                    <xdr:col>5</xdr:col>
                    <xdr:colOff>95250</xdr:colOff>
                    <xdr:row>1331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9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vishnu vardhan</cp:lastModifiedBy>
  <dcterms:created xsi:type="dcterms:W3CDTF">2025-04-15T19:16:23Z</dcterms:created>
  <dcterms:modified xsi:type="dcterms:W3CDTF">2025-04-16T03:22:32Z</dcterms:modified>
</cp:coreProperties>
</file>