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.xml" ContentType="application/vnd.openxmlformats-officedocument.themeOverride+xml"/>
  <Override PartName="/xl/drawings/drawing5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2.xml" ContentType="application/vnd.openxmlformats-officedocument.themeOverride+xml"/>
  <Override PartName="/xl/drawings/drawing6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oor\Desktop\HYDROGEN SCEANRIO STUDY WITH LEW\CALEPA SCENARIOS\"/>
    </mc:Choice>
  </mc:AlternateContent>
  <xr:revisionPtr revIDLastSave="0" documentId="13_ncr:1_{792EEA06-19E2-4CEA-AF74-8374D1708787}" xr6:coauthVersionLast="47" xr6:coauthVersionMax="47" xr10:uidLastSave="{00000000-0000-0000-0000-000000000000}"/>
  <bookViews>
    <workbookView xWindow="-120" yWindow="-120" windowWidth="20730" windowHeight="11160" firstSheet="4" activeTab="5" xr2:uid="{7C73C291-EB6E-47B6-9243-5A257C0699AA}"/>
  </bookViews>
  <sheets>
    <sheet name="Sales" sheetId="1" r:id="rId1"/>
    <sheet name="production plant capacity" sheetId="4" r:id="rId2"/>
    <sheet name="refuelling stations" sheetId="8" r:id="rId3"/>
    <sheet name="urban refuelH2 demand and costs" sheetId="9" r:id="rId4"/>
    <sheet name="Highway H2 demand and costs" sheetId="3" r:id="rId5"/>
    <sheet name="analysis_vehicles_h2production" sheetId="6" r:id="rId6"/>
    <sheet name="analysis_hydrogen costs" sheetId="7" r:id="rId7"/>
    <sheet name="Sheet1" sheetId="1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8" l="1"/>
  <c r="J10" i="8"/>
  <c r="Z17" i="4" a="1"/>
  <c r="Z17" i="4" s="1"/>
  <c r="X17" i="4" a="1"/>
  <c r="X17" i="4" s="1"/>
  <c r="V17" i="4" a="1"/>
  <c r="V17" i="4" s="1"/>
  <c r="T17" i="4" a="1"/>
  <c r="T17" i="4" s="1"/>
  <c r="R17" i="4" a="1"/>
  <c r="R17" i="4" s="1"/>
  <c r="P17" i="4" a="1"/>
  <c r="P17" i="4" s="1"/>
  <c r="Y17" i="4" a="1"/>
  <c r="Y17" i="4" s="1"/>
  <c r="W17" i="4" a="1"/>
  <c r="W17" i="4" s="1"/>
  <c r="U17" i="4" a="1"/>
  <c r="U17" i="4" s="1"/>
  <c r="S17" i="4" a="1"/>
  <c r="S17" i="4" s="1"/>
  <c r="Q17" i="4" a="1"/>
  <c r="Q17" i="4" s="1"/>
  <c r="O17" i="4" a="1"/>
  <c r="O17" i="4" s="1"/>
  <c r="N45" i="7"/>
  <c r="N51" i="7"/>
  <c r="N43" i="7"/>
  <c r="L56" i="7"/>
  <c r="L18" i="7"/>
  <c r="L9" i="7"/>
  <c r="L6" i="7"/>
  <c r="L12" i="7"/>
  <c r="N50" i="7"/>
  <c r="N48" i="7"/>
  <c r="N42" i="7"/>
  <c r="N40" i="7"/>
  <c r="L11" i="7"/>
  <c r="L8" i="7"/>
  <c r="L14" i="7"/>
  <c r="K14" i="7"/>
  <c r="K11" i="7"/>
  <c r="K8" i="7"/>
  <c r="K20" i="7"/>
  <c r="D21" i="4" l="1"/>
  <c r="E21" i="4"/>
  <c r="F21" i="4"/>
  <c r="G21" i="4"/>
  <c r="H21" i="4"/>
  <c r="H20" i="4"/>
  <c r="G20" i="4"/>
  <c r="C21" i="4"/>
  <c r="E20" i="4"/>
  <c r="F20" i="4" s="1"/>
  <c r="D20" i="4"/>
  <c r="D14" i="4"/>
  <c r="E14" i="4"/>
  <c r="F14" i="4"/>
  <c r="G14" i="4"/>
  <c r="H14" i="4"/>
  <c r="C14" i="4"/>
  <c r="E13" i="4"/>
  <c r="F13" i="4" s="1"/>
  <c r="G13" i="4" s="1"/>
  <c r="H13" i="4" s="1"/>
  <c r="D13" i="4"/>
  <c r="I117" i="6" l="1"/>
  <c r="I116" i="6"/>
  <c r="I115" i="6"/>
  <c r="H117" i="6"/>
  <c r="H116" i="6"/>
  <c r="H115" i="6"/>
  <c r="G117" i="6"/>
  <c r="G116" i="6"/>
  <c r="G115" i="6"/>
  <c r="F117" i="6"/>
  <c r="F116" i="6"/>
  <c r="F115" i="6"/>
  <c r="E117" i="6"/>
  <c r="E116" i="6"/>
  <c r="D117" i="6"/>
  <c r="D116" i="6"/>
  <c r="D115" i="6"/>
  <c r="E115" i="6"/>
  <c r="G93" i="6" l="1" a="1"/>
  <c r="G93" i="6" s="1"/>
  <c r="G97" i="6" l="1" a="1"/>
  <c r="G97" i="6" s="1"/>
  <c r="G95" i="6" l="1" a="1"/>
  <c r="G95" i="6" s="1"/>
  <c r="E93" i="6" l="1" a="1"/>
  <c r="E93" i="6" s="1"/>
  <c r="E97" i="6" l="1" a="1"/>
  <c r="E97" i="6" s="1"/>
  <c r="E95" i="6" l="1" a="1"/>
  <c r="E95" i="6" s="1"/>
  <c r="F93" i="6" l="1" a="1"/>
  <c r="F93" i="6" s="1"/>
  <c r="E98" i="6" l="1"/>
  <c r="G98" i="6"/>
  <c r="F97" i="6" l="1" a="1"/>
  <c r="F97" i="6" s="1"/>
  <c r="F98" i="6" s="1"/>
  <c r="F95" i="6" l="1" a="1"/>
  <c r="F95" i="6" s="1"/>
  <c r="D93" i="6" l="1" a="1"/>
  <c r="D93" i="6" s="1"/>
  <c r="D97" i="6" l="1" a="1"/>
  <c r="D97" i="6" s="1"/>
  <c r="D98" i="6" s="1"/>
  <c r="D95" i="6" l="1" a="1"/>
  <c r="D95" i="6" s="1"/>
  <c r="U18" i="1" l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N18" i="1" a="1"/>
  <c r="M18" i="1" a="1"/>
  <c r="M18" i="1" s="1"/>
  <c r="L18" i="1" a="1"/>
  <c r="G79" i="6"/>
  <c r="C5" i="6"/>
  <c r="C4" i="6"/>
  <c r="L9" i="6"/>
  <c r="L8" i="6"/>
  <c r="L7" i="6"/>
  <c r="L6" i="6"/>
  <c r="L5" i="6"/>
  <c r="K9" i="6"/>
  <c r="K8" i="6"/>
  <c r="K7" i="6"/>
  <c r="K6" i="6"/>
  <c r="K5" i="6"/>
  <c r="J9" i="6"/>
  <c r="J8" i="6"/>
  <c r="J7" i="6"/>
  <c r="J6" i="6"/>
  <c r="J5" i="6"/>
  <c r="I9" i="6"/>
  <c r="I8" i="6"/>
  <c r="I7" i="6"/>
  <c r="I6" i="6"/>
  <c r="I5" i="6"/>
  <c r="H9" i="6"/>
  <c r="H8" i="6"/>
  <c r="H7" i="6"/>
  <c r="H6" i="6"/>
  <c r="H5" i="6"/>
  <c r="G9" i="6"/>
  <c r="G8" i="6"/>
  <c r="G7" i="6"/>
  <c r="G6" i="6"/>
  <c r="G5" i="6"/>
  <c r="F9" i="6"/>
  <c r="F8" i="6"/>
  <c r="F7" i="6"/>
  <c r="F6" i="6"/>
  <c r="F5" i="6"/>
  <c r="E9" i="6"/>
  <c r="E8" i="6"/>
  <c r="E7" i="6"/>
  <c r="E6" i="6"/>
  <c r="E5" i="6"/>
  <c r="L4" i="6"/>
  <c r="K4" i="6"/>
  <c r="J4" i="6"/>
  <c r="I4" i="6"/>
  <c r="H4" i="6"/>
  <c r="G4" i="6"/>
  <c r="F4" i="6"/>
  <c r="E4" i="6"/>
  <c r="D9" i="6"/>
  <c r="D8" i="6"/>
  <c r="D7" i="6"/>
  <c r="D6" i="6"/>
  <c r="D5" i="6"/>
  <c r="C9" i="6"/>
  <c r="C8" i="6"/>
  <c r="C7" i="6"/>
  <c r="C6" i="6"/>
  <c r="D4" i="6"/>
  <c r="N18" i="1" l="1"/>
  <c r="D8" i="4"/>
  <c r="D7" i="4"/>
  <c r="O18" i="1"/>
  <c r="K7" i="4"/>
  <c r="L18" i="1"/>
  <c r="C7" i="4"/>
  <c r="V42" i="1"/>
  <c r="C3" i="4"/>
  <c r="M7" i="6"/>
  <c r="M9" i="6"/>
  <c r="M6" i="6"/>
  <c r="M8" i="6"/>
  <c r="M5" i="6"/>
  <c r="L59" i="7" l="1"/>
  <c r="L51" i="7"/>
  <c r="L43" i="7"/>
  <c r="T22" i="9" l="1"/>
  <c r="S22" i="9"/>
  <c r="T21" i="9"/>
  <c r="S21" i="9"/>
  <c r="W27" i="7"/>
  <c r="W26" i="7"/>
  <c r="W25" i="7"/>
  <c r="J18" i="7"/>
  <c r="J15" i="7"/>
  <c r="J14" i="7"/>
  <c r="J13" i="7"/>
  <c r="J12" i="7"/>
  <c r="J8" i="7"/>
  <c r="J7" i="7"/>
  <c r="J6" i="7"/>
  <c r="L29" i="6" l="1"/>
  <c r="L28" i="6"/>
  <c r="L27" i="6"/>
  <c r="L26" i="6"/>
  <c r="L25" i="6"/>
  <c r="L24" i="6"/>
  <c r="K29" i="6"/>
  <c r="K28" i="6"/>
  <c r="K27" i="6"/>
  <c r="K26" i="6"/>
  <c r="K25" i="6"/>
  <c r="K24" i="6"/>
  <c r="J29" i="6"/>
  <c r="J28" i="6"/>
  <c r="J27" i="6"/>
  <c r="J26" i="6"/>
  <c r="J25" i="6"/>
  <c r="J24" i="6"/>
  <c r="I29" i="6"/>
  <c r="I28" i="6"/>
  <c r="I27" i="6"/>
  <c r="I26" i="6"/>
  <c r="I25" i="6"/>
  <c r="I24" i="6"/>
  <c r="H29" i="6"/>
  <c r="H28" i="6"/>
  <c r="H27" i="6"/>
  <c r="H26" i="6"/>
  <c r="H25" i="6"/>
  <c r="H24" i="6"/>
  <c r="G29" i="6"/>
  <c r="G28" i="6"/>
  <c r="G27" i="6"/>
  <c r="G26" i="6"/>
  <c r="G25" i="6"/>
  <c r="G24" i="6"/>
  <c r="F29" i="6"/>
  <c r="F28" i="6"/>
  <c r="F27" i="6"/>
  <c r="F26" i="6"/>
  <c r="F25" i="6"/>
  <c r="F24" i="6"/>
  <c r="E29" i="6"/>
  <c r="E28" i="6"/>
  <c r="E27" i="6"/>
  <c r="E26" i="6"/>
  <c r="E25" i="6"/>
  <c r="E24" i="6"/>
  <c r="D29" i="6"/>
  <c r="D28" i="6"/>
  <c r="D27" i="6"/>
  <c r="D26" i="6"/>
  <c r="D25" i="6"/>
  <c r="D24" i="6"/>
  <c r="C29" i="6"/>
  <c r="C28" i="6"/>
  <c r="C27" i="6"/>
  <c r="C26" i="6"/>
  <c r="C25" i="6"/>
  <c r="C24" i="6"/>
  <c r="M28" i="6" l="1"/>
  <c r="N28" i="6" s="1"/>
  <c r="M29" i="6"/>
  <c r="N29" i="6" s="1"/>
  <c r="I68" i="6" l="1"/>
  <c r="J68" i="6"/>
  <c r="G69" i="6"/>
  <c r="H69" i="6"/>
  <c r="I69" i="6"/>
  <c r="E70" i="6"/>
  <c r="F70" i="6"/>
  <c r="G70" i="6"/>
  <c r="D68" i="6"/>
  <c r="L68" i="6"/>
  <c r="J69" i="6"/>
  <c r="H70" i="6"/>
  <c r="E68" i="6"/>
  <c r="C69" i="6"/>
  <c r="K69" i="6"/>
  <c r="I70" i="6"/>
  <c r="K68" i="6"/>
  <c r="F68" i="6"/>
  <c r="D69" i="6"/>
  <c r="L69" i="6"/>
  <c r="J70" i="6"/>
  <c r="C68" i="6"/>
  <c r="G68" i="6"/>
  <c r="E69" i="6"/>
  <c r="C70" i="6"/>
  <c r="K70" i="6"/>
  <c r="H68" i="6"/>
  <c r="F69" i="6"/>
  <c r="D70" i="6"/>
  <c r="L70" i="6"/>
  <c r="C5" i="4"/>
  <c r="C6" i="4"/>
  <c r="K3" i="4"/>
  <c r="V48" i="1"/>
  <c r="W48" i="1" s="1"/>
  <c r="C8" i="4"/>
  <c r="K4" i="4"/>
  <c r="D3" i="4"/>
  <c r="K5" i="4"/>
  <c r="D4" i="4"/>
  <c r="K6" i="4"/>
  <c r="D5" i="4"/>
  <c r="C4" i="4"/>
  <c r="D6" i="4"/>
  <c r="K8" i="4"/>
  <c r="AG17" i="7"/>
  <c r="AG16" i="7"/>
  <c r="AG14" i="7"/>
  <c r="AG13" i="7"/>
  <c r="AG11" i="7"/>
  <c r="AG8" i="7"/>
  <c r="AF19" i="7"/>
  <c r="AF17" i="7"/>
  <c r="AF16" i="7"/>
  <c r="AF14" i="7"/>
  <c r="AF13" i="7"/>
  <c r="AF11" i="7"/>
  <c r="AE22" i="7"/>
  <c r="AE20" i="7"/>
  <c r="AE19" i="7"/>
  <c r="AE17" i="7"/>
  <c r="AH17" i="7" s="1"/>
  <c r="AE16" i="7"/>
  <c r="AE14" i="7"/>
  <c r="AE13" i="7"/>
  <c r="AE11" i="7"/>
  <c r="AE8" i="7"/>
  <c r="AE5" i="7"/>
  <c r="AH13" i="7"/>
  <c r="AH11" i="7"/>
  <c r="J21" i="7"/>
  <c r="J22" i="7" s="1"/>
  <c r="J17" i="7"/>
  <c r="J16" i="7"/>
  <c r="J11" i="7"/>
  <c r="J10" i="7"/>
  <c r="J9" i="7"/>
  <c r="Y17" i="3"/>
  <c r="V17" i="3"/>
  <c r="Y11" i="3"/>
  <c r="V11" i="3"/>
  <c r="AA15" i="3"/>
  <c r="Z15" i="3"/>
  <c r="X15" i="3"/>
  <c r="W15" i="3"/>
  <c r="AA9" i="3"/>
  <c r="Z9" i="3"/>
  <c r="X9" i="3"/>
  <c r="W9" i="3"/>
  <c r="Y5" i="3"/>
  <c r="V5" i="3"/>
  <c r="AA3" i="3"/>
  <c r="Z3" i="3"/>
  <c r="X3" i="3"/>
  <c r="W3" i="3"/>
  <c r="P17" i="3"/>
  <c r="P11" i="3"/>
  <c r="P5" i="3"/>
  <c r="AA15" i="9"/>
  <c r="Z15" i="9"/>
  <c r="Y15" i="9"/>
  <c r="X15" i="9"/>
  <c r="W15" i="9"/>
  <c r="W21" i="9" s="1"/>
  <c r="V15" i="9"/>
  <c r="V21" i="9" s="1"/>
  <c r="AC16" i="9"/>
  <c r="AC22" i="9" s="1"/>
  <c r="AB16" i="9"/>
  <c r="AB22" i="9" s="1"/>
  <c r="AA9" i="9"/>
  <c r="AG12" i="7" s="1"/>
  <c r="Z9" i="9"/>
  <c r="AC9" i="9" s="1"/>
  <c r="Y9" i="9"/>
  <c r="X9" i="9"/>
  <c r="AF12" i="7" s="1"/>
  <c r="W9" i="9"/>
  <c r="V9" i="9"/>
  <c r="AC10" i="9"/>
  <c r="AB10" i="9"/>
  <c r="AA3" i="9"/>
  <c r="Z3" i="9"/>
  <c r="AG7" i="7" s="1"/>
  <c r="Y3" i="9"/>
  <c r="AG5" i="7" s="1"/>
  <c r="X3" i="9"/>
  <c r="AF6" i="7" s="1"/>
  <c r="W3" i="9"/>
  <c r="AF7" i="7" s="1"/>
  <c r="V3" i="9"/>
  <c r="AF5" i="7" s="1"/>
  <c r="H5" i="9"/>
  <c r="H15" i="3"/>
  <c r="H9" i="3"/>
  <c r="H3" i="3"/>
  <c r="AA16" i="9"/>
  <c r="Z16" i="9"/>
  <c r="Z22" i="9" s="1"/>
  <c r="Y16" i="9"/>
  <c r="Y22" i="9" s="1"/>
  <c r="X16" i="9"/>
  <c r="W16" i="9"/>
  <c r="W22" i="9" s="1"/>
  <c r="V16" i="9"/>
  <c r="V22" i="9" s="1"/>
  <c r="U16" i="9"/>
  <c r="U22" i="9" s="1"/>
  <c r="AE21" i="7" s="1"/>
  <c r="T16" i="9"/>
  <c r="S16" i="9"/>
  <c r="O16" i="9"/>
  <c r="N16" i="9"/>
  <c r="M16" i="9"/>
  <c r="L16" i="9"/>
  <c r="K16" i="9"/>
  <c r="J16" i="9"/>
  <c r="U15" i="9"/>
  <c r="U21" i="9" s="1"/>
  <c r="AE18" i="7" s="1"/>
  <c r="T15" i="9"/>
  <c r="S15" i="9"/>
  <c r="O15" i="9"/>
  <c r="L19" i="7" s="1"/>
  <c r="N15" i="9"/>
  <c r="L20" i="7" s="1"/>
  <c r="M15" i="9"/>
  <c r="L15" i="9"/>
  <c r="K19" i="7" s="1"/>
  <c r="K15" i="9"/>
  <c r="J15" i="9"/>
  <c r="K18" i="7" s="1"/>
  <c r="AA10" i="9"/>
  <c r="AG15" i="7" s="1"/>
  <c r="Z10" i="9"/>
  <c r="Y10" i="9"/>
  <c r="X10" i="9"/>
  <c r="AF15" i="7" s="1"/>
  <c r="W10" i="9"/>
  <c r="V10" i="9"/>
  <c r="U10" i="9"/>
  <c r="AE15" i="7" s="1"/>
  <c r="T10" i="9"/>
  <c r="S10" i="9"/>
  <c r="O10" i="9"/>
  <c r="N10" i="9"/>
  <c r="M10" i="9"/>
  <c r="L10" i="9"/>
  <c r="K10" i="9"/>
  <c r="J10" i="9"/>
  <c r="U9" i="9"/>
  <c r="AE12" i="7" s="1"/>
  <c r="T9" i="9"/>
  <c r="S9" i="9"/>
  <c r="O9" i="9"/>
  <c r="L13" i="7" s="1"/>
  <c r="N9" i="9"/>
  <c r="M9" i="9"/>
  <c r="L9" i="9"/>
  <c r="K13" i="7" s="1"/>
  <c r="K9" i="9"/>
  <c r="J9" i="9"/>
  <c r="AA4" i="9"/>
  <c r="AG9" i="7" s="1"/>
  <c r="Z4" i="9"/>
  <c r="AG10" i="7" s="1"/>
  <c r="Y4" i="9"/>
  <c r="X4" i="9"/>
  <c r="AF9" i="7" s="1"/>
  <c r="W4" i="9"/>
  <c r="AF10" i="7" s="1"/>
  <c r="V4" i="9"/>
  <c r="AB4" i="9" s="1"/>
  <c r="U4" i="9"/>
  <c r="T4" i="9"/>
  <c r="AE10" i="7" s="1"/>
  <c r="S4" i="9"/>
  <c r="O4" i="9"/>
  <c r="N4" i="9"/>
  <c r="M4" i="9"/>
  <c r="L4" i="9"/>
  <c r="K4" i="9"/>
  <c r="J4" i="9"/>
  <c r="U3" i="9"/>
  <c r="AE6" i="7" s="1"/>
  <c r="T3" i="9"/>
  <c r="AE7" i="7" s="1"/>
  <c r="S3" i="9"/>
  <c r="O3" i="9"/>
  <c r="N3" i="9"/>
  <c r="M3" i="9"/>
  <c r="L3" i="9"/>
  <c r="K3" i="9"/>
  <c r="J3" i="9"/>
  <c r="K6" i="7" s="1"/>
  <c r="K10" i="7" l="1"/>
  <c r="K7" i="7"/>
  <c r="L10" i="7"/>
  <c r="L7" i="7"/>
  <c r="M7" i="7" s="1"/>
  <c r="P10" i="9"/>
  <c r="P9" i="9"/>
  <c r="P4" i="9"/>
  <c r="Q9" i="9"/>
  <c r="AH5" i="7"/>
  <c r="AF8" i="7"/>
  <c r="AH8" i="7" s="1"/>
  <c r="L39" i="7"/>
  <c r="U25" i="7"/>
  <c r="Q4" i="9"/>
  <c r="Q10" i="9"/>
  <c r="R15" i="9"/>
  <c r="Q16" i="9"/>
  <c r="AC15" i="9"/>
  <c r="AC21" i="9" s="1"/>
  <c r="Z21" i="9"/>
  <c r="P15" i="9"/>
  <c r="AF20" i="7"/>
  <c r="AF22" i="7"/>
  <c r="AH22" i="7" s="1"/>
  <c r="AG19" i="7"/>
  <c r="AG20" i="7"/>
  <c r="AH20" i="7" s="1"/>
  <c r="AG22" i="7"/>
  <c r="P16" i="9"/>
  <c r="AB15" i="9"/>
  <c r="AB21" i="9" s="1"/>
  <c r="Y21" i="9"/>
  <c r="L55" i="7"/>
  <c r="U27" i="7"/>
  <c r="L47" i="7"/>
  <c r="U26" i="7"/>
  <c r="AF21" i="7"/>
  <c r="X22" i="9"/>
  <c r="AG18" i="7"/>
  <c r="AA21" i="9"/>
  <c r="AF18" i="7"/>
  <c r="X21" i="9"/>
  <c r="AG21" i="7"/>
  <c r="AA22" i="9"/>
  <c r="M68" i="6"/>
  <c r="N68" i="6" s="1"/>
  <c r="M69" i="6"/>
  <c r="N69" i="6" s="1"/>
  <c r="M70" i="6"/>
  <c r="N70" i="6" s="1"/>
  <c r="AH7" i="7"/>
  <c r="AD4" i="9"/>
  <c r="Q15" i="9"/>
  <c r="AD16" i="9"/>
  <c r="AD22" i="9" s="1"/>
  <c r="K12" i="7"/>
  <c r="K15" i="7" s="1" a="1"/>
  <c r="K15" i="7" s="1"/>
  <c r="AC4" i="9"/>
  <c r="M14" i="7"/>
  <c r="P3" i="9"/>
  <c r="M18" i="7"/>
  <c r="Q3" i="9"/>
  <c r="L21" i="7" a="1"/>
  <c r="L21" i="7" s="1"/>
  <c r="AE9" i="7"/>
  <c r="AH9" i="7" s="1"/>
  <c r="K9" i="7"/>
  <c r="M9" i="7" s="1"/>
  <c r="R3" i="9"/>
  <c r="AD3" i="9"/>
  <c r="L15" i="7" a="1"/>
  <c r="L15" i="7" s="1"/>
  <c r="R9" i="9"/>
  <c r="AG6" i="7"/>
  <c r="AH6" i="7" s="1"/>
  <c r="AD10" i="9"/>
  <c r="K21" i="7" a="1"/>
  <c r="K21" i="7" s="1"/>
  <c r="AD15" i="9"/>
  <c r="AD21" i="9" s="1"/>
  <c r="AH19" i="7"/>
  <c r="AH16" i="7"/>
  <c r="AH15" i="7"/>
  <c r="AH14" i="7"/>
  <c r="AH12" i="7"/>
  <c r="AH10" i="7"/>
  <c r="M12" i="7"/>
  <c r="M8" i="7"/>
  <c r="M6" i="7"/>
  <c r="J23" i="7"/>
  <c r="J19" i="7"/>
  <c r="J20" i="7"/>
  <c r="M20" i="7" s="1"/>
  <c r="M13" i="7"/>
  <c r="AD9" i="9"/>
  <c r="AB9" i="9"/>
  <c r="AC3" i="9"/>
  <c r="R4" i="9"/>
  <c r="R10" i="9"/>
  <c r="R16" i="9"/>
  <c r="E7" i="4"/>
  <c r="E8" i="4"/>
  <c r="C29" i="4"/>
  <c r="L34" i="4"/>
  <c r="L35" i="4" s="1"/>
  <c r="M34" i="4" s="1"/>
  <c r="N34" i="4" s="1"/>
  <c r="K32" i="4" s="1"/>
  <c r="K31" i="4"/>
  <c r="K30" i="4"/>
  <c r="M10" i="7" l="1"/>
  <c r="M11" i="7"/>
  <c r="N9" i="7" s="1"/>
  <c r="AH21" i="7"/>
  <c r="AH18" i="7"/>
  <c r="M19" i="7"/>
  <c r="M15" i="7"/>
  <c r="M21" i="7"/>
  <c r="M16" i="7"/>
  <c r="M22" i="7"/>
  <c r="M23" i="7"/>
  <c r="M17" i="7"/>
  <c r="C2" i="8"/>
  <c r="D29" i="4" l="1"/>
  <c r="X63" i="7"/>
  <c r="X64" i="7"/>
  <c r="N14" i="7"/>
  <c r="X65" i="7"/>
  <c r="N20" i="7"/>
  <c r="C3" i="8"/>
  <c r="C4" i="8" s="1"/>
  <c r="H29" i="4" l="1"/>
  <c r="B103" i="6"/>
  <c r="C5" i="8"/>
  <c r="C6" i="8" s="1"/>
  <c r="E29" i="4"/>
  <c r="V22" i="1"/>
  <c r="I22" i="3"/>
  <c r="D103" i="6" l="1"/>
  <c r="B104" i="6"/>
  <c r="C7" i="8"/>
  <c r="C8" i="8" s="1"/>
  <c r="F29" i="4"/>
  <c r="I21" i="3"/>
  <c r="D104" i="6" l="1"/>
  <c r="B105" i="6"/>
  <c r="G29" i="4"/>
  <c r="F22" i="3"/>
  <c r="H22" i="3" s="1"/>
  <c r="F21" i="3"/>
  <c r="H21" i="3" s="1"/>
  <c r="B106" i="6" l="1"/>
  <c r="D105" i="6"/>
  <c r="L59" i="6"/>
  <c r="L58" i="6"/>
  <c r="L57" i="6"/>
  <c r="K59" i="6"/>
  <c r="K58" i="6"/>
  <c r="K57" i="6"/>
  <c r="J59" i="6"/>
  <c r="J58" i="6"/>
  <c r="J57" i="6"/>
  <c r="I59" i="6"/>
  <c r="I58" i="6"/>
  <c r="I57" i="6"/>
  <c r="H59" i="6"/>
  <c r="H58" i="6"/>
  <c r="H57" i="6"/>
  <c r="G59" i="6"/>
  <c r="G58" i="6"/>
  <c r="G57" i="6"/>
  <c r="F59" i="6"/>
  <c r="F58" i="6"/>
  <c r="F57" i="6"/>
  <c r="E59" i="6"/>
  <c r="E58" i="6"/>
  <c r="E57" i="6"/>
  <c r="D59" i="6"/>
  <c r="D58" i="6"/>
  <c r="D57" i="6"/>
  <c r="C59" i="6"/>
  <c r="C58" i="6"/>
  <c r="C57" i="6"/>
  <c r="L56" i="6"/>
  <c r="K56" i="6"/>
  <c r="J56" i="6"/>
  <c r="I56" i="6"/>
  <c r="H56" i="6"/>
  <c r="G56" i="6"/>
  <c r="F56" i="6"/>
  <c r="E56" i="6"/>
  <c r="D56" i="6"/>
  <c r="C56" i="6"/>
  <c r="L49" i="6"/>
  <c r="L48" i="6"/>
  <c r="L47" i="6"/>
  <c r="K49" i="6"/>
  <c r="K48" i="6"/>
  <c r="K47" i="6"/>
  <c r="J49" i="6"/>
  <c r="J48" i="6"/>
  <c r="J47" i="6"/>
  <c r="I49" i="6"/>
  <c r="I48" i="6"/>
  <c r="I47" i="6"/>
  <c r="H49" i="6"/>
  <c r="H48" i="6"/>
  <c r="H47" i="6"/>
  <c r="G49" i="6"/>
  <c r="G48" i="6"/>
  <c r="G47" i="6"/>
  <c r="F49" i="6"/>
  <c r="F48" i="6"/>
  <c r="F47" i="6"/>
  <c r="E49" i="6"/>
  <c r="E48" i="6"/>
  <c r="E47" i="6"/>
  <c r="D49" i="6"/>
  <c r="D48" i="6"/>
  <c r="D47" i="6"/>
  <c r="C49" i="6"/>
  <c r="C48" i="6"/>
  <c r="C47" i="6"/>
  <c r="L46" i="6"/>
  <c r="K46" i="6"/>
  <c r="J46" i="6"/>
  <c r="I46" i="6"/>
  <c r="H46" i="6"/>
  <c r="G46" i="6"/>
  <c r="F46" i="6"/>
  <c r="E46" i="6"/>
  <c r="D46" i="6"/>
  <c r="C46" i="6"/>
  <c r="K50" i="6" l="1"/>
  <c r="G50" i="6"/>
  <c r="D50" i="6"/>
  <c r="J50" i="6"/>
  <c r="E50" i="6"/>
  <c r="H50" i="6"/>
  <c r="C50" i="6"/>
  <c r="F50" i="6"/>
  <c r="I50" i="6"/>
  <c r="L50" i="6"/>
  <c r="D67" i="6"/>
  <c r="E67" i="6"/>
  <c r="F67" i="6"/>
  <c r="G67" i="6"/>
  <c r="H67" i="6"/>
  <c r="I67" i="6"/>
  <c r="J67" i="6"/>
  <c r="K67" i="6"/>
  <c r="L67" i="6"/>
  <c r="C67" i="6"/>
  <c r="D66" i="6"/>
  <c r="E66" i="6"/>
  <c r="F66" i="6"/>
  <c r="G66" i="6"/>
  <c r="H66" i="6"/>
  <c r="I66" i="6"/>
  <c r="J66" i="6"/>
  <c r="K66" i="6"/>
  <c r="L66" i="6"/>
  <c r="C66" i="6"/>
  <c r="D65" i="6"/>
  <c r="E65" i="6"/>
  <c r="F65" i="6"/>
  <c r="G65" i="6"/>
  <c r="H65" i="6"/>
  <c r="I65" i="6"/>
  <c r="J65" i="6"/>
  <c r="K65" i="6"/>
  <c r="L65" i="6"/>
  <c r="C65" i="6"/>
  <c r="M66" i="6" l="1"/>
  <c r="M67" i="6"/>
  <c r="M65" i="6"/>
  <c r="N65" i="6" s="1"/>
  <c r="M24" i="6"/>
  <c r="N24" i="6" s="1"/>
  <c r="M50" i="6"/>
  <c r="M27" i="6"/>
  <c r="N27" i="6" s="1"/>
  <c r="M25" i="6"/>
  <c r="N25" i="6" s="1"/>
  <c r="M26" i="6"/>
  <c r="N26" i="6" s="1"/>
  <c r="E77" i="6" l="1"/>
  <c r="N67" i="6"/>
  <c r="L76" i="6"/>
  <c r="N66" i="6"/>
  <c r="J76" i="6"/>
  <c r="H76" i="6"/>
  <c r="K76" i="6"/>
  <c r="C76" i="6"/>
  <c r="F76" i="6"/>
  <c r="G76" i="6"/>
  <c r="I76" i="6"/>
  <c r="D76" i="6"/>
  <c r="E76" i="6"/>
  <c r="J75" i="6"/>
  <c r="I75" i="6"/>
  <c r="D75" i="6"/>
  <c r="L75" i="6"/>
  <c r="E75" i="6"/>
  <c r="C75" i="6"/>
  <c r="K75" i="6"/>
  <c r="F75" i="6"/>
  <c r="G75" i="6"/>
  <c r="H75" i="6"/>
  <c r="M4" i="6"/>
  <c r="V18" i="1" l="1"/>
  <c r="V19" i="1"/>
  <c r="V20" i="1"/>
  <c r="V2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3" i="1"/>
  <c r="V44" i="1"/>
  <c r="V45" i="1"/>
  <c r="V46" i="1"/>
  <c r="V47" i="1"/>
  <c r="L3" i="4" l="1"/>
  <c r="D2" i="8"/>
  <c r="X27" i="7"/>
  <c r="X26" i="7"/>
  <c r="X25" i="7"/>
  <c r="V27" i="7"/>
  <c r="V26" i="7"/>
  <c r="V25" i="7"/>
  <c r="L4" i="4" l="1"/>
  <c r="U3" i="4"/>
  <c r="V3" i="4"/>
  <c r="D3" i="8"/>
  <c r="D4" i="8" s="1"/>
  <c r="N3" i="4"/>
  <c r="M3" i="4"/>
  <c r="L5" i="4" l="1"/>
  <c r="U4" i="4"/>
  <c r="P86" i="6" s="1"/>
  <c r="V4" i="4"/>
  <c r="Q86" i="6" s="1"/>
  <c r="D5" i="8"/>
  <c r="D6" i="8" s="1"/>
  <c r="D7" i="8" s="1"/>
  <c r="C105" i="6" s="1"/>
  <c r="C103" i="6"/>
  <c r="U5" i="4" l="1"/>
  <c r="V5" i="4"/>
  <c r="L6" i="4"/>
  <c r="N5" i="4"/>
  <c r="F105" i="6"/>
  <c r="C104" i="6"/>
  <c r="F103" i="6"/>
  <c r="H103" i="6" s="1"/>
  <c r="AE90" i="6" s="1"/>
  <c r="D8" i="8"/>
  <c r="U6" i="4" l="1"/>
  <c r="P87" i="6" s="1"/>
  <c r="V6" i="4"/>
  <c r="Q87" i="6" s="1"/>
  <c r="L7" i="4"/>
  <c r="N6" i="4"/>
  <c r="E87" i="6" s="1"/>
  <c r="M6" i="4"/>
  <c r="H105" i="6"/>
  <c r="AG90" i="6" s="1"/>
  <c r="F104" i="6"/>
  <c r="H104" i="6" s="1"/>
  <c r="AF90" i="6" s="1"/>
  <c r="C106" i="6"/>
  <c r="D96" i="6"/>
  <c r="S87" i="6" l="1"/>
  <c r="U7" i="4"/>
  <c r="V7" i="4"/>
  <c r="N7" i="4"/>
  <c r="M7" i="4"/>
  <c r="L8" i="4"/>
  <c r="AH90" i="6"/>
  <c r="E96" i="6"/>
  <c r="U8" i="4" l="1"/>
  <c r="P88" i="6" s="1"/>
  <c r="V8" i="4"/>
  <c r="Q88" i="6" s="1"/>
  <c r="N8" i="4"/>
  <c r="E88" i="6" s="1"/>
  <c r="M8" i="4"/>
  <c r="D88" i="6" s="1"/>
  <c r="G96" i="6"/>
  <c r="F94" i="6" l="1"/>
  <c r="D94" i="6"/>
  <c r="G94" i="6" l="1"/>
  <c r="G88" i="6" s="1"/>
  <c r="S88" i="6" l="1"/>
  <c r="AL63" i="7"/>
  <c r="AL61" i="7"/>
  <c r="AK63" i="7"/>
  <c r="AK61" i="7"/>
  <c r="AJ63" i="7"/>
  <c r="AJ61" i="7"/>
  <c r="AL55" i="7"/>
  <c r="AL53" i="7"/>
  <c r="AK55" i="7"/>
  <c r="AK53" i="7"/>
  <c r="AJ55" i="7"/>
  <c r="AJ53" i="7"/>
  <c r="AM45" i="7"/>
  <c r="AL47" i="7"/>
  <c r="AM47" i="7" s="1"/>
  <c r="AM63" i="7" l="1"/>
  <c r="AM61" i="7"/>
  <c r="AM53" i="7"/>
  <c r="AM55" i="7"/>
  <c r="F88" i="7"/>
  <c r="F86" i="7"/>
  <c r="N61" i="7" l="1"/>
  <c r="L61" i="7"/>
  <c r="O61" i="7" s="1"/>
  <c r="O59" i="7"/>
  <c r="N58" i="7"/>
  <c r="L58" i="7"/>
  <c r="L57" i="7"/>
  <c r="N56" i="7"/>
  <c r="L53" i="7"/>
  <c r="L54" i="7" s="1"/>
  <c r="N53" i="7"/>
  <c r="O53" i="7" s="1"/>
  <c r="O51" i="7"/>
  <c r="L52" i="7"/>
  <c r="L60" i="7" l="1"/>
  <c r="L62" i="7"/>
  <c r="L49" i="7"/>
  <c r="L50" i="7" s="1"/>
  <c r="L48" i="7"/>
  <c r="M45" i="7"/>
  <c r="M46" i="7" s="1"/>
  <c r="L45" i="7"/>
  <c r="O45" i="7" s="1"/>
  <c r="M43" i="7"/>
  <c r="M44" i="7" s="1"/>
  <c r="L44" i="7"/>
  <c r="L42" i="7"/>
  <c r="L41" i="7"/>
  <c r="L40" i="7"/>
  <c r="O43" i="7" l="1"/>
  <c r="L46" i="7"/>
  <c r="AQ63" i="7"/>
  <c r="AQ65" i="7"/>
  <c r="AQ67" i="7"/>
  <c r="AQ69" i="7"/>
  <c r="AQ62" i="7"/>
  <c r="AQ64" i="7"/>
  <c r="P18" i="3"/>
  <c r="P12" i="3"/>
  <c r="P6" i="3"/>
  <c r="AA18" i="3" l="1" a="1"/>
  <c r="AA18" i="3" s="1"/>
  <c r="AL64" i="7" s="1"/>
  <c r="Y18" i="3"/>
  <c r="X18" i="3" a="1"/>
  <c r="X18" i="3" s="1"/>
  <c r="AK64" i="7" s="1"/>
  <c r="U18" i="3" a="1"/>
  <c r="U18" i="3" s="1"/>
  <c r="AJ64" i="7" l="1"/>
  <c r="AM64" i="7" s="1"/>
  <c r="AD18" i="3"/>
  <c r="AA17" i="3" a="1"/>
  <c r="AA17" i="3" s="1"/>
  <c r="AL62" i="7" s="1"/>
  <c r="X17" i="3" a="1"/>
  <c r="X17" i="3" s="1"/>
  <c r="AK62" i="7" s="1"/>
  <c r="U17" i="3" a="1"/>
  <c r="U17" i="3" s="1"/>
  <c r="AJ62" i="7" l="1"/>
  <c r="AM62" i="7" s="1"/>
  <c r="AD17" i="3"/>
  <c r="X12" i="3" a="1"/>
  <c r="X12" i="3" s="1"/>
  <c r="AK56" i="7" s="1"/>
  <c r="Y12" i="3"/>
  <c r="U12" i="3" a="1"/>
  <c r="U12" i="3" s="1"/>
  <c r="AJ56" i="7" l="1"/>
  <c r="AA12" i="3" a="1"/>
  <c r="AA12" i="3" s="1"/>
  <c r="AL56" i="7" s="1"/>
  <c r="AM56" i="7" l="1"/>
  <c r="AD12" i="3"/>
  <c r="U11" i="3" a="1"/>
  <c r="U11" i="3" s="1"/>
  <c r="X11" i="3" a="1"/>
  <c r="X11" i="3" s="1"/>
  <c r="AK54" i="7" s="1"/>
  <c r="AJ54" i="7" l="1"/>
  <c r="AA11" i="3" a="1"/>
  <c r="AA11" i="3" s="1"/>
  <c r="AL54" i="7" s="1"/>
  <c r="AM54" i="7" s="1"/>
  <c r="AD11" i="3" l="1"/>
  <c r="X6" i="3" a="1"/>
  <c r="X6" i="3" s="1"/>
  <c r="AK48" i="7" s="1"/>
  <c r="Y6" i="3"/>
  <c r="U6" i="3" a="1"/>
  <c r="U6" i="3" s="1"/>
  <c r="AJ48" i="7" l="1"/>
  <c r="AA6" i="3" a="1"/>
  <c r="AA6" i="3" s="1"/>
  <c r="AL48" i="7" s="1"/>
  <c r="AM48" i="7" l="1"/>
  <c r="AD6" i="3"/>
  <c r="AA16" i="3" l="1"/>
  <c r="AL59" i="7" s="1"/>
  <c r="AL57" i="7"/>
  <c r="X16" i="3"/>
  <c r="AK59" i="7" s="1"/>
  <c r="AK57" i="7"/>
  <c r="U16" i="3"/>
  <c r="U15" i="3"/>
  <c r="O18" i="3"/>
  <c r="R18" i="3" s="1"/>
  <c r="O17" i="3"/>
  <c r="O16" i="3"/>
  <c r="O15" i="3"/>
  <c r="AA10" i="3"/>
  <c r="AL51" i="7" s="1"/>
  <c r="AL49" i="7"/>
  <c r="X10" i="3"/>
  <c r="AK51" i="7" s="1"/>
  <c r="AK49" i="7"/>
  <c r="U10" i="3"/>
  <c r="U9" i="3"/>
  <c r="O12" i="3"/>
  <c r="R12" i="3" s="1"/>
  <c r="O11" i="3"/>
  <c r="O10" i="3"/>
  <c r="N49" i="7" s="1"/>
  <c r="O9" i="3"/>
  <c r="N47" i="7" s="1"/>
  <c r="AA4" i="3"/>
  <c r="AL43" i="7" s="1"/>
  <c r="AL41" i="7"/>
  <c r="X4" i="3"/>
  <c r="AK43" i="7" s="1"/>
  <c r="AK41" i="7"/>
  <c r="U4" i="3"/>
  <c r="U3" i="3"/>
  <c r="O6" i="3"/>
  <c r="O5" i="3"/>
  <c r="O4" i="3"/>
  <c r="N41" i="7" s="1"/>
  <c r="O3" i="3"/>
  <c r="N39" i="7" s="1"/>
  <c r="L16" i="3"/>
  <c r="M57" i="7" s="1"/>
  <c r="L15" i="3"/>
  <c r="M55" i="7" s="1"/>
  <c r="L10" i="3"/>
  <c r="M49" i="7" s="1"/>
  <c r="L9" i="3"/>
  <c r="M47" i="7" s="1"/>
  <c r="L4" i="3"/>
  <c r="M41" i="7" s="1"/>
  <c r="L3" i="3"/>
  <c r="M39" i="7" s="1"/>
  <c r="R11" i="3" l="1"/>
  <c r="N52" i="7"/>
  <c r="R5" i="3"/>
  <c r="N44" i="7"/>
  <c r="N46" i="7" s="1"/>
  <c r="O46" i="7" s="1"/>
  <c r="R17" i="3"/>
  <c r="N60" i="7"/>
  <c r="AJ41" i="7"/>
  <c r="AM41" i="7" s="1"/>
  <c r="AR62" i="7" s="1"/>
  <c r="AS62" i="7" s="1"/>
  <c r="AD3" i="3"/>
  <c r="AJ43" i="7"/>
  <c r="AD4" i="3"/>
  <c r="R3" i="3"/>
  <c r="R9" i="3"/>
  <c r="AJ59" i="7"/>
  <c r="AM59" i="7" s="1"/>
  <c r="AR69" i="7" s="1"/>
  <c r="AS69" i="7" s="1"/>
  <c r="AD16" i="3"/>
  <c r="AJ51" i="7"/>
  <c r="AM51" i="7" s="1"/>
  <c r="AD10" i="3"/>
  <c r="R15" i="3"/>
  <c r="AJ49" i="7"/>
  <c r="AM49" i="7" s="1"/>
  <c r="AD9" i="3"/>
  <c r="AJ57" i="7"/>
  <c r="AM57" i="7" s="1"/>
  <c r="AR67" i="7" s="1"/>
  <c r="AS67" i="7" s="1"/>
  <c r="AD15" i="3"/>
  <c r="AM43" i="7"/>
  <c r="AR64" i="7" s="1"/>
  <c r="AS64" i="7" s="1"/>
  <c r="R10" i="3"/>
  <c r="O49" i="7"/>
  <c r="O39" i="7"/>
  <c r="R6" i="3"/>
  <c r="R16" i="3"/>
  <c r="R4" i="3"/>
  <c r="O41" i="7"/>
  <c r="O47" i="7"/>
  <c r="N57" i="7"/>
  <c r="N55" i="7"/>
  <c r="Z16" i="3"/>
  <c r="AL60" i="7" s="1"/>
  <c r="AL58" i="7"/>
  <c r="W16" i="3"/>
  <c r="AK60" i="7" s="1"/>
  <c r="AK58" i="7"/>
  <c r="T16" i="3"/>
  <c r="T15" i="3"/>
  <c r="K16" i="3"/>
  <c r="M58" i="7" s="1"/>
  <c r="K15" i="3"/>
  <c r="O44" i="7" l="1"/>
  <c r="Q15" i="3"/>
  <c r="M56" i="7"/>
  <c r="O56" i="7" s="1"/>
  <c r="AJ60" i="7"/>
  <c r="AC16" i="3"/>
  <c r="AJ58" i="7"/>
  <c r="AC15" i="3"/>
  <c r="AM58" i="7"/>
  <c r="AR68" i="7" s="1"/>
  <c r="AM60" i="7"/>
  <c r="AR70" i="7" s="1"/>
  <c r="N62" i="7"/>
  <c r="O62" i="7" s="1"/>
  <c r="O60" i="7"/>
  <c r="Q16" i="3"/>
  <c r="O58" i="7"/>
  <c r="O57" i="7"/>
  <c r="O55" i="7"/>
  <c r="O52" i="7"/>
  <c r="N54" i="7"/>
  <c r="O54" i="7" s="1"/>
  <c r="Z10" i="3"/>
  <c r="AL52" i="7" s="1"/>
  <c r="AL50" i="7"/>
  <c r="W10" i="3"/>
  <c r="AK52" i="7" s="1"/>
  <c r="AK50" i="7"/>
  <c r="T10" i="3"/>
  <c r="T9" i="3"/>
  <c r="K10" i="3"/>
  <c r="M50" i="7" s="1"/>
  <c r="K9" i="3"/>
  <c r="Z4" i="3"/>
  <c r="AL44" i="7" s="1"/>
  <c r="AL42" i="7"/>
  <c r="W4" i="3"/>
  <c r="AK42" i="7"/>
  <c r="T4" i="3"/>
  <c r="T3" i="3"/>
  <c r="K4" i="3"/>
  <c r="M42" i="7" s="1"/>
  <c r="K3" i="3"/>
  <c r="Q3" i="3" l="1"/>
  <c r="M40" i="7"/>
  <c r="O40" i="7" s="1"/>
  <c r="Q9" i="3"/>
  <c r="M48" i="7"/>
  <c r="X68" i="7"/>
  <c r="P58" i="7"/>
  <c r="AJ42" i="7"/>
  <c r="AM42" i="7" s="1"/>
  <c r="AR63" i="7" s="1"/>
  <c r="AS63" i="7" s="1"/>
  <c r="AC3" i="3"/>
  <c r="AJ50" i="7"/>
  <c r="AC9" i="3"/>
  <c r="AJ44" i="7"/>
  <c r="AM44" i="7" s="1"/>
  <c r="AR65" i="7" s="1"/>
  <c r="AS65" i="7" s="1"/>
  <c r="AC4" i="3"/>
  <c r="AJ52" i="7"/>
  <c r="AC10" i="3"/>
  <c r="AM52" i="7"/>
  <c r="AM50" i="7"/>
  <c r="Q4" i="3"/>
  <c r="O42" i="7"/>
  <c r="Q10" i="3"/>
  <c r="O50" i="7"/>
  <c r="O48" i="7"/>
  <c r="P44" i="7" l="1"/>
  <c r="X66" i="7"/>
  <c r="P50" i="7"/>
  <c r="X67" i="7"/>
  <c r="AT64" i="7"/>
  <c r="AQ68" i="7"/>
  <c r="AS68" i="7" s="1"/>
  <c r="AQ70" i="7"/>
  <c r="AS70" i="7" s="1"/>
  <c r="V18" i="3"/>
  <c r="S18" i="3"/>
  <c r="AB18" i="3" s="1"/>
  <c r="S17" i="3"/>
  <c r="AB17" i="3" s="1"/>
  <c r="V12" i="3"/>
  <c r="S12" i="3"/>
  <c r="AB12" i="3" s="1"/>
  <c r="S11" i="3"/>
  <c r="AB11" i="3" s="1"/>
  <c r="V6" i="3"/>
  <c r="S6" i="3"/>
  <c r="AB6" i="3" s="1"/>
  <c r="S5" i="3"/>
  <c r="AB5" i="3" s="1"/>
  <c r="AT68" i="7" l="1"/>
  <c r="E18" i="3" l="1"/>
  <c r="E17" i="3"/>
  <c r="E12" i="3"/>
  <c r="E11" i="3"/>
  <c r="E4" i="3"/>
  <c r="E6" i="3"/>
  <c r="E5" i="3"/>
  <c r="E16" i="3"/>
  <c r="E15" i="3"/>
  <c r="E10" i="3"/>
  <c r="E9" i="3"/>
  <c r="E3" i="3"/>
  <c r="D6" i="3" l="1"/>
  <c r="D5" i="3"/>
  <c r="W18" i="1" l="1"/>
  <c r="E3" i="4" l="1"/>
  <c r="W19" i="1"/>
  <c r="F3" i="4" l="1"/>
  <c r="W20" i="1"/>
  <c r="H3" i="4" l="1"/>
  <c r="D4" i="3" s="1"/>
  <c r="R3" i="4"/>
  <c r="S3" i="4"/>
  <c r="G3" i="4"/>
  <c r="D3" i="3" s="1"/>
  <c r="W21" i="1"/>
  <c r="B69" i="7" l="1"/>
  <c r="W22" i="1"/>
  <c r="N4" i="4" l="1"/>
  <c r="E86" i="6" s="1"/>
  <c r="E89" i="6" s="1"/>
  <c r="W23" i="1"/>
  <c r="W24" i="1" l="1"/>
  <c r="E4" i="4"/>
  <c r="M4" i="4"/>
  <c r="D86" i="6" s="1"/>
  <c r="F4" i="4" l="1"/>
  <c r="D12" i="3"/>
  <c r="D11" i="3"/>
  <c r="W25" i="1"/>
  <c r="G4" i="4" l="1"/>
  <c r="B86" i="6" s="1"/>
  <c r="S4" i="4"/>
  <c r="O86" i="6" s="1"/>
  <c r="R4" i="4"/>
  <c r="N86" i="6" s="1"/>
  <c r="H4" i="4"/>
  <c r="C86" i="6" s="1"/>
  <c r="W26" i="1"/>
  <c r="B70" i="7" l="1"/>
  <c r="D10" i="3"/>
  <c r="R86" i="6"/>
  <c r="F86" i="6"/>
  <c r="D9" i="3"/>
  <c r="W27" i="1"/>
  <c r="W28" i="1" l="1"/>
  <c r="M5" i="4" l="1"/>
  <c r="D87" i="6" s="1"/>
  <c r="G87" i="6" s="1"/>
  <c r="E5" i="4"/>
  <c r="W29" i="1"/>
  <c r="F5" i="4" l="1"/>
  <c r="H5" i="4" s="1"/>
  <c r="D89" i="6"/>
  <c r="D90" i="6" s="1"/>
  <c r="D17" i="3"/>
  <c r="W30" i="1"/>
  <c r="D18" i="3"/>
  <c r="G5" i="4" l="1"/>
  <c r="S5" i="4"/>
  <c r="R5" i="4"/>
  <c r="B71" i="7"/>
  <c r="D16" i="3"/>
  <c r="D15" i="3"/>
  <c r="W31" i="1"/>
  <c r="W32" i="1" l="1"/>
  <c r="W33" i="1" l="1"/>
  <c r="E6" i="4" l="1"/>
  <c r="W34" i="1"/>
  <c r="F6" i="4" l="1"/>
  <c r="G6" i="4" s="1"/>
  <c r="B87" i="6" s="1"/>
  <c r="W35" i="1"/>
  <c r="H6" i="4" l="1"/>
  <c r="C87" i="6" s="1"/>
  <c r="F87" i="6" s="1"/>
  <c r="H87" i="6" s="1"/>
  <c r="AF89" i="6" s="1"/>
  <c r="F7" i="4"/>
  <c r="R6" i="4"/>
  <c r="N87" i="6" s="1"/>
  <c r="S6" i="4"/>
  <c r="O87" i="6" s="1"/>
  <c r="W36" i="1"/>
  <c r="W37" i="1"/>
  <c r="B72" i="7" l="1"/>
  <c r="A75" i="7" s="1"/>
  <c r="R87" i="6"/>
  <c r="T87" i="6" s="1"/>
  <c r="S7" i="4"/>
  <c r="R7" i="4"/>
  <c r="F8" i="4"/>
  <c r="H7" i="4"/>
  <c r="G7" i="4"/>
  <c r="W38" i="1"/>
  <c r="S8" i="4" l="1"/>
  <c r="O88" i="6" s="1"/>
  <c r="R8" i="4"/>
  <c r="N88" i="6" s="1"/>
  <c r="H8" i="4"/>
  <c r="C88" i="6" s="1"/>
  <c r="C89" i="6" s="1"/>
  <c r="G8" i="4"/>
  <c r="B88" i="6" s="1"/>
  <c r="W39" i="1"/>
  <c r="B89" i="6" l="1"/>
  <c r="B90" i="6" s="1"/>
  <c r="W40" i="1"/>
  <c r="W41" i="1" l="1"/>
  <c r="W42" i="1"/>
  <c r="W43" i="1" l="1"/>
  <c r="W44" i="1" l="1"/>
  <c r="W45" i="1" l="1"/>
  <c r="W46" i="1" l="1"/>
  <c r="W47" i="1"/>
  <c r="E94" i="6" l="1"/>
  <c r="F88" i="6" l="1"/>
  <c r="H88" i="6" s="1"/>
  <c r="AG89" i="6" s="1"/>
  <c r="R88" i="6"/>
  <c r="T88" i="6" s="1"/>
  <c r="AB3" i="9"/>
  <c r="F96" i="6" l="1"/>
  <c r="S86" i="6" l="1"/>
  <c r="T86" i="6" s="1"/>
  <c r="G86" i="6"/>
  <c r="H86" i="6"/>
  <c r="AE89" i="6" s="1"/>
  <c r="U5" i="3" a="1"/>
  <c r="U5" i="3" s="1"/>
  <c r="X5" i="3" a="1"/>
  <c r="X5" i="3" s="1"/>
  <c r="AK46" i="7" s="1"/>
  <c r="AH89" i="6" l="1"/>
  <c r="AA5" i="3" a="1"/>
  <c r="AA5" i="3" s="1"/>
  <c r="AL46" i="7" s="1"/>
  <c r="AJ46" i="7"/>
  <c r="AD5" i="3" l="1"/>
  <c r="AM4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<sst xmlns="http://schemas.openxmlformats.org/spreadsheetml/2006/main" count="614" uniqueCount="199">
  <si>
    <t>Cars</t>
  </si>
  <si>
    <t>Light trucks</t>
  </si>
  <si>
    <t>Trucks HD pickup</t>
  </si>
  <si>
    <t>Trucks MD delivery</t>
  </si>
  <si>
    <t>Trucks HD short haul</t>
  </si>
  <si>
    <t>Trucks HD long haul</t>
  </si>
  <si>
    <t>Trucks vocational</t>
  </si>
  <si>
    <t>Buses</t>
  </si>
  <si>
    <t>TOTAL</t>
  </si>
  <si>
    <t>Average on-road fuel economy (miles per kg)</t>
  </si>
  <si>
    <t>Annual travel per vehicle (miles)</t>
  </si>
  <si>
    <t>total hydrogen use (million gal ge, about equal to thousand tonnes H2)</t>
  </si>
  <si>
    <t>tonnes per day needed</t>
  </si>
  <si>
    <t>YEAR</t>
  </si>
  <si>
    <t>Production volume of components</t>
  </si>
  <si>
    <t>Assumptions</t>
  </si>
  <si>
    <t>1) Hydrogen production at central plant only</t>
  </si>
  <si>
    <t>Production costs($/kg)</t>
  </si>
  <si>
    <t>Delivery Costs($/kg)</t>
  </si>
  <si>
    <t>Total cost($/kg)</t>
  </si>
  <si>
    <t>Capital costs($/kg)</t>
  </si>
  <si>
    <t>O&amp;M costs($/kg)</t>
  </si>
  <si>
    <t>Variable cost($/kg)</t>
  </si>
  <si>
    <t>Total cost per year($)</t>
  </si>
  <si>
    <t>Year</t>
  </si>
  <si>
    <t>Electricity demand</t>
  </si>
  <si>
    <t>LOW</t>
  </si>
  <si>
    <t>MID</t>
  </si>
  <si>
    <t>HIGH</t>
  </si>
  <si>
    <t>Max.Central plant capacity(tonne/day)</t>
  </si>
  <si>
    <t>Central</t>
  </si>
  <si>
    <t>Distibuted</t>
  </si>
  <si>
    <t>Hydrogen production plants</t>
  </si>
  <si>
    <t>Type</t>
  </si>
  <si>
    <t>Number</t>
  </si>
  <si>
    <t>Technology</t>
  </si>
  <si>
    <t>Hydrogen production plants(central)</t>
  </si>
  <si>
    <t>Central plant</t>
  </si>
  <si>
    <t>Plant capacity (kg/day)</t>
  </si>
  <si>
    <t>Refuelling station capacity(kg/day)</t>
  </si>
  <si>
    <t>Total Number of plants</t>
  </si>
  <si>
    <t>Total number of plants</t>
  </si>
  <si>
    <t>Number of SMR plants</t>
  </si>
  <si>
    <t>Number of Electrolysis plants</t>
  </si>
  <si>
    <t>percent of SMR plants</t>
  </si>
  <si>
    <t>percent of electrolysis  plants</t>
  </si>
  <si>
    <t>capacity(tonne/day)</t>
  </si>
  <si>
    <t>Refuelling  cost($/kg)</t>
  </si>
  <si>
    <t>Gas.H2.Tube trailer</t>
  </si>
  <si>
    <t>Gas.H2. pipeline</t>
  </si>
  <si>
    <t>Liq.H2</t>
  </si>
  <si>
    <t>Variable cost including feed stock costs($/kg)</t>
  </si>
  <si>
    <t>SMR with CCS</t>
  </si>
  <si>
    <t>ELECTROLYSIS(PEM)</t>
  </si>
  <si>
    <t>Vehicle categories conisdered for heavy duty refuelling</t>
  </si>
  <si>
    <t>Vehicle categories conisdered for urban/light duty refuelling</t>
  </si>
  <si>
    <t xml:space="preserve">max capacity of plant,tonne/day </t>
  </si>
  <si>
    <t xml:space="preserve">max capacity of  plant,tonne/day </t>
  </si>
  <si>
    <t>Percentage of total hydrogen demand met by distributed production for heavy duty refuelling</t>
  </si>
  <si>
    <t>1) Hydrogen demand is met by both central plant and distributed plants. 25% total demand met by distibuted plants,which means plant and refuelling station is in same compound.
2) Heavy duty vehicles do not refuel in light duty vehicel refuelling station</t>
  </si>
  <si>
    <t>Foot print of refuelling station(5ton/day)-Gaseous refuelling</t>
  </si>
  <si>
    <t>782 m2</t>
  </si>
  <si>
    <t>Foot print of refuelling station(5ton/day)-Gaseous refuelling(pipeline)</t>
  </si>
  <si>
    <t>NA-HDSAM doesnot allow for gas delivery beyond 2ton/day</t>
  </si>
  <si>
    <t>Foot print of refuelling station(5ton/day)-liq hydrogen</t>
  </si>
  <si>
    <t>Foot print of refuelling station with liq h2 dispensing</t>
  </si>
  <si>
    <t>Foot print of refuelling station with gas h2 dispensing from tube trailer</t>
  </si>
  <si>
    <t>Foot print of refuelling station with gas h2 dispensing from pipeline</t>
  </si>
  <si>
    <t>New Vehicle Sales</t>
  </si>
  <si>
    <t>Vehicle Stock</t>
  </si>
  <si>
    <t>Annual hydrogen use (million gal ge, about equal to thousand tonnes H2)</t>
  </si>
  <si>
    <t xml:space="preserve"> Hydrogen production facilities </t>
  </si>
  <si>
    <t>Distributed plant(5 tonne/day)</t>
  </si>
  <si>
    <t>SMR(CCS)</t>
  </si>
  <si>
    <t>Electrolysis(PEM)</t>
  </si>
  <si>
    <t xml:space="preserve"> Hydrogen Refuelling Stations</t>
  </si>
  <si>
    <t>Central plant(30 tonne/day)</t>
  </si>
  <si>
    <t>LIGHT DUTY HYDROGEN PATHWAYS</t>
  </si>
  <si>
    <t>Tube trailer</t>
  </si>
  <si>
    <t>Gaseous</t>
  </si>
  <si>
    <t>Liq.H2 truck</t>
  </si>
  <si>
    <t>Liquid</t>
  </si>
  <si>
    <t>Pipeline</t>
  </si>
  <si>
    <t>HEAVY DUTY HYDROGEN PATHWAYS</t>
  </si>
  <si>
    <t xml:space="preserve">Production </t>
  </si>
  <si>
    <t>Electrolysis (PEM)</t>
  </si>
  <si>
    <t>Cost of Hydrogen for light duty refuelling</t>
  </si>
  <si>
    <t>Pathways</t>
  </si>
  <si>
    <t>Cost of Hydrogen for Heavy duty refuelling</t>
  </si>
  <si>
    <t>ELECTRICITY DEMAND PER YEAR FOR ELECTROLYSIS</t>
  </si>
  <si>
    <t>Electricity demand(Gwh/year)</t>
  </si>
  <si>
    <t>total electricity consumption in California for  2018 ,(Gwh/year)</t>
  </si>
  <si>
    <t>Foot print of refuelling station</t>
  </si>
  <si>
    <t>Delivery type</t>
  </si>
  <si>
    <r>
      <t>Foot print(m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</si>
  <si>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pipeline</t>
  </si>
  <si>
    <t>liq h2</t>
  </si>
  <si>
    <t>tube trailer</t>
  </si>
  <si>
    <t>Central production</t>
  </si>
  <si>
    <t>Distirbuted production</t>
  </si>
  <si>
    <t>STG</t>
  </si>
  <si>
    <t>SLL</t>
  </si>
  <si>
    <t>SPG</t>
  </si>
  <si>
    <t>ETG</t>
  </si>
  <si>
    <t>ELL</t>
  </si>
  <si>
    <t>EPG</t>
  </si>
  <si>
    <t>SG</t>
  </si>
  <si>
    <t>EG</t>
  </si>
  <si>
    <t>EL</t>
  </si>
  <si>
    <t>Distributed plant</t>
  </si>
  <si>
    <t>SL</t>
  </si>
  <si>
    <t>Pathway name</t>
  </si>
  <si>
    <t>Delivery mode</t>
  </si>
  <si>
    <t>Refuelling type</t>
  </si>
  <si>
    <t>Production technology</t>
  </si>
  <si>
    <t>Onsite/distributed</t>
  </si>
  <si>
    <r>
      <t>Total Capital Investment((Inflated to Start-up Year $))H</t>
    </r>
    <r>
      <rPr>
        <b/>
        <sz val="11"/>
        <color theme="1"/>
        <rFont val="Calibri"/>
        <family val="2"/>
        <scheme val="minor"/>
      </rPr>
      <t>IGH</t>
    </r>
  </si>
  <si>
    <t>Light duty</t>
  </si>
  <si>
    <t>Heavy duty</t>
  </si>
  <si>
    <t>Other Bus</t>
  </si>
  <si>
    <t>MD vocational</t>
  </si>
  <si>
    <t>HD vocational</t>
  </si>
  <si>
    <t>Distibuted plant(Highway/base refuelling only)</t>
  </si>
  <si>
    <t>Urban demand,kg/day</t>
  </si>
  <si>
    <t>Highway/base demand,kg/day</t>
  </si>
  <si>
    <t>Highway/base  demand,kg/day</t>
  </si>
  <si>
    <t>Transit Bus</t>
  </si>
  <si>
    <t>MD delivery</t>
  </si>
  <si>
    <t>Investment($ million)</t>
  </si>
  <si>
    <t>Total Capital Investment($ million)</t>
  </si>
  <si>
    <t>1.5 ton</t>
  </si>
  <si>
    <t>5ton</t>
  </si>
  <si>
    <t>liq</t>
  </si>
  <si>
    <t>gas tube</t>
  </si>
  <si>
    <t>gas pipe</t>
  </si>
  <si>
    <t>1.5 ton/day</t>
  </si>
  <si>
    <t>5ton/day</t>
  </si>
  <si>
    <t>Hydrogen Production Facility</t>
  </si>
  <si>
    <t>Hydrogen Refuelling Station</t>
  </si>
  <si>
    <t>Production costs</t>
  </si>
  <si>
    <t>Summary of least cost hydrogen pathways</t>
  </si>
  <si>
    <t>Refuelling station type</t>
  </si>
  <si>
    <t>Time frame</t>
  </si>
  <si>
    <t>Cost of dispensed hydrogen($/kg)</t>
  </si>
  <si>
    <t>Pathway</t>
  </si>
  <si>
    <t>MD urban</t>
  </si>
  <si>
    <t>Calculation of the proportion of SMR and Electrolysis plants</t>
  </si>
  <si>
    <t>Costs</t>
  </si>
  <si>
    <t>NG</t>
  </si>
  <si>
    <t>Electricity</t>
  </si>
  <si>
    <t>Electrolyzer</t>
  </si>
  <si>
    <t>% change from 2025-2050</t>
  </si>
  <si>
    <t>hydrogen council reference" cost competiveness"</t>
  </si>
  <si>
    <t>Near term (2025-2030)</t>
  </si>
  <si>
    <t>Mid term (2030-2040)</t>
  </si>
  <si>
    <t>Long term     (2040-2050)</t>
  </si>
  <si>
    <t>Urban refuelling station 
(1.5 tonne/day)</t>
  </si>
  <si>
    <t>Highway/base refuelling station 
(5 tonne/day)</t>
  </si>
  <si>
    <t>Uban Refuelling station capacity(kg/day)</t>
  </si>
  <si>
    <t>Highway Refuelling station capacity(kg/day)</t>
  </si>
  <si>
    <t>Long term  (2040-2050)</t>
  </si>
  <si>
    <t>refer  EIA projections</t>
  </si>
  <si>
    <t>Number of refuelling stations</t>
  </si>
  <si>
    <t>Based on Marshal's values ( 25 March 2021) for HIGH ZEV scenario</t>
  </si>
  <si>
    <t>SMR</t>
  </si>
  <si>
    <t>Long term (2040-2050)</t>
  </si>
  <si>
    <t>sum</t>
  </si>
  <si>
    <t>Cumulative
(25 years)</t>
  </si>
  <si>
    <t>California's fuel demand</t>
  </si>
  <si>
    <t>gasoline</t>
  </si>
  <si>
    <t>diesel</t>
  </si>
  <si>
    <t>Central plant(30 tpd)</t>
  </si>
  <si>
    <t>Distributed plant(5 tpd)</t>
  </si>
  <si>
    <t>Urban refuelling station(1.5 tpd)</t>
  </si>
  <si>
    <t>Highway/base refuelling station (5 tpd)</t>
  </si>
  <si>
    <t>Highway/base Refueling station
(5 tpd)</t>
  </si>
  <si>
    <t>Urban Refueling station
(1.5 tpd)</t>
  </si>
  <si>
    <t>Long term(2040-2050)</t>
  </si>
  <si>
    <t>Near term(2025-2030)</t>
  </si>
  <si>
    <t>Mid term(2030-2040)</t>
  </si>
  <si>
    <t>Liq H2 tanker</t>
  </si>
  <si>
    <t>Near term</t>
  </si>
  <si>
    <t xml:space="preserve">Mid term </t>
  </si>
  <si>
    <t xml:space="preserve">Long term     </t>
  </si>
  <si>
    <t xml:space="preserve">SMR </t>
  </si>
  <si>
    <t>New Production costs($/kg),with new NG costs and 20% drop in capital costs each term and ng consumption at 0.1558 and new capex</t>
  </si>
  <si>
    <t>average</t>
  </si>
  <si>
    <t>SLG</t>
  </si>
  <si>
    <t>ELG</t>
  </si>
  <si>
    <t>Refuelling  costs($/kg)</t>
  </si>
  <si>
    <t>Total costs($/kg)</t>
  </si>
  <si>
    <t>Reference</t>
  </si>
  <si>
    <t>Slow electrolysis adoption</t>
  </si>
  <si>
    <t>Fast electrolysis adoption</t>
  </si>
  <si>
    <t>HIGH ELECTROLYSIS ADOPTION</t>
  </si>
  <si>
    <t>Fast EL</t>
  </si>
  <si>
    <t>Slow EL</t>
  </si>
  <si>
    <t>Percent of new SMR plants</t>
  </si>
  <si>
    <t>Percent of new electrolysis 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</si>
</sst>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General_)"/>
    <numFmt numFmtId="165" formatCode="0.0"/>
    <numFmt numFmtId="166" formatCode="_(#,##0_);_(\ \(#,##0_);_(&quot;-&quot;??_);_(@_)"/>
  </numFmts>
  <fonts count="19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2" fillId="0" borderId="0"/>
  </cellStyleXfs>
  <cellXfs count="27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2" borderId="5" xfId="1" applyNumberFormat="1" applyFont="1" applyFill="1" applyBorder="1"/>
    <xf numFmtId="165" fontId="0" fillId="3" borderId="0" xfId="0" applyNumberFormat="1" applyFill="1"/>
    <xf numFmtId="2" fontId="0" fillId="0" borderId="0" xfId="0" applyNumberFormat="1"/>
    <xf numFmtId="165" fontId="0" fillId="4" borderId="0" xfId="0" applyNumberFormat="1" applyFill="1"/>
    <xf numFmtId="0" fontId="0" fillId="0" borderId="6" xfId="0" applyFill="1" applyBorder="1" applyAlignment="1">
      <alignment wrapText="1"/>
    </xf>
    <xf numFmtId="0" fontId="0" fillId="0" borderId="0" xfId="0" applyFill="1" applyBorder="1" applyAlignment="1">
      <alignment wrapText="1"/>
    </xf>
    <xf numFmtId="39" fontId="3" fillId="5" borderId="0" xfId="1" applyNumberFormat="1" applyFont="1" applyFill="1"/>
    <xf numFmtId="1" fontId="0" fillId="3" borderId="0" xfId="0" applyNumberFormat="1" applyFill="1"/>
    <xf numFmtId="0" fontId="0" fillId="6" borderId="0" xfId="0" applyFill="1"/>
    <xf numFmtId="44" fontId="0" fillId="0" borderId="0" xfId="2" applyFont="1"/>
    <xf numFmtId="0" fontId="5" fillId="0" borderId="8" xfId="0" applyFont="1" applyBorder="1"/>
    <xf numFmtId="0" fontId="5" fillId="0" borderId="8" xfId="0" applyFont="1" applyBorder="1" applyAlignment="1">
      <alignment wrapText="1"/>
    </xf>
    <xf numFmtId="44" fontId="5" fillId="0" borderId="8" xfId="2" applyFont="1" applyBorder="1" applyAlignment="1">
      <alignment wrapText="1"/>
    </xf>
    <xf numFmtId="0" fontId="0" fillId="0" borderId="8" xfId="0" applyBorder="1"/>
    <xf numFmtId="0" fontId="0" fillId="0" borderId="8" xfId="0" applyBorder="1" applyAlignment="1"/>
    <xf numFmtId="0" fontId="0" fillId="0" borderId="0" xfId="0" applyBorder="1"/>
    <xf numFmtId="0" fontId="5" fillId="6" borderId="0" xfId="0" applyFont="1" applyFill="1" applyAlignment="1">
      <alignment wrapText="1"/>
    </xf>
    <xf numFmtId="0" fontId="0" fillId="7" borderId="8" xfId="0" applyFill="1" applyBorder="1" applyAlignment="1"/>
    <xf numFmtId="0" fontId="0" fillId="7" borderId="8" xfId="0" applyFill="1" applyBorder="1"/>
    <xf numFmtId="0" fontId="0" fillId="7" borderId="12" xfId="0" applyFill="1" applyBorder="1" applyAlignment="1"/>
    <xf numFmtId="0" fontId="0" fillId="0" borderId="8" xfId="0" applyFill="1" applyBorder="1" applyAlignment="1"/>
    <xf numFmtId="0" fontId="0" fillId="0" borderId="8" xfId="0" applyBorder="1" applyAlignment="1">
      <alignment wrapText="1"/>
    </xf>
    <xf numFmtId="2" fontId="0" fillId="0" borderId="8" xfId="0" applyNumberFormat="1" applyBorder="1"/>
    <xf numFmtId="0" fontId="5" fillId="0" borderId="8" xfId="0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44" fontId="0" fillId="0" borderId="8" xfId="2" applyFont="1" applyBorder="1"/>
    <xf numFmtId="0" fontId="5" fillId="0" borderId="9" xfId="0" applyFont="1" applyBorder="1"/>
    <xf numFmtId="0" fontId="0" fillId="7" borderId="9" xfId="0" applyFill="1" applyBorder="1"/>
    <xf numFmtId="44" fontId="5" fillId="0" borderId="10" xfId="2" applyFont="1" applyBorder="1" applyAlignment="1">
      <alignment wrapText="1"/>
    </xf>
    <xf numFmtId="0" fontId="0" fillId="0" borderId="8" xfId="0" applyBorder="1" applyAlignment="1">
      <alignment vertical="center"/>
    </xf>
    <xf numFmtId="44" fontId="0" fillId="7" borderId="8" xfId="2" applyFont="1" applyFill="1" applyBorder="1"/>
    <xf numFmtId="0" fontId="0" fillId="0" borderId="9" xfId="0" applyFill="1" applyBorder="1"/>
    <xf numFmtId="0" fontId="5" fillId="6" borderId="8" xfId="0" applyFont="1" applyFill="1" applyBorder="1" applyAlignment="1">
      <alignment wrapText="1"/>
    </xf>
    <xf numFmtId="0" fontId="5" fillId="0" borderId="0" xfId="0" applyFont="1"/>
    <xf numFmtId="0" fontId="0" fillId="0" borderId="0" xfId="0" applyFill="1" applyBorder="1"/>
    <xf numFmtId="0" fontId="5" fillId="0" borderId="0" xfId="0" applyFont="1" applyAlignment="1">
      <alignment wrapText="1"/>
    </xf>
    <xf numFmtId="44" fontId="5" fillId="0" borderId="8" xfId="2" applyFont="1" applyBorder="1" applyAlignment="1">
      <alignment horizontal="center" wrapText="1"/>
    </xf>
    <xf numFmtId="44" fontId="0" fillId="0" borderId="8" xfId="2" applyFont="1" applyFill="1" applyBorder="1"/>
    <xf numFmtId="0" fontId="0" fillId="0" borderId="8" xfId="0" applyFill="1" applyBorder="1"/>
    <xf numFmtId="44" fontId="0" fillId="7" borderId="8" xfId="0" applyNumberFormat="1" applyFill="1" applyBorder="1"/>
    <xf numFmtId="0" fontId="0" fillId="0" borderId="18" xfId="0" applyBorder="1" applyAlignment="1"/>
    <xf numFmtId="0" fontId="0" fillId="0" borderId="18" xfId="0" applyBorder="1"/>
    <xf numFmtId="0" fontId="0" fillId="0" borderId="15" xfId="0" applyBorder="1"/>
    <xf numFmtId="44" fontId="0" fillId="0" borderId="18" xfId="2" applyFont="1" applyBorder="1"/>
    <xf numFmtId="44" fontId="0" fillId="0" borderId="18" xfId="2" applyFont="1" applyFill="1" applyBorder="1"/>
    <xf numFmtId="0" fontId="0" fillId="7" borderId="13" xfId="0" applyFill="1" applyBorder="1"/>
    <xf numFmtId="44" fontId="0" fillId="7" borderId="12" xfId="2" applyFont="1" applyFill="1" applyBorder="1"/>
    <xf numFmtId="0" fontId="0" fillId="7" borderId="12" xfId="0" applyFill="1" applyBorder="1"/>
    <xf numFmtId="44" fontId="0" fillId="7" borderId="12" xfId="0" applyNumberFormat="1" applyFill="1" applyBorder="1"/>
    <xf numFmtId="44" fontId="0" fillId="0" borderId="0" xfId="2" applyFont="1" applyBorder="1"/>
    <xf numFmtId="0" fontId="0" fillId="0" borderId="15" xfId="0" applyFill="1" applyBorder="1"/>
    <xf numFmtId="44" fontId="0" fillId="0" borderId="8" xfId="2" applyFont="1" applyBorder="1" applyAlignment="1">
      <alignment horizontal="center"/>
    </xf>
    <xf numFmtId="0" fontId="0" fillId="0" borderId="19" xfId="0" applyBorder="1"/>
    <xf numFmtId="0" fontId="0" fillId="0" borderId="13" xfId="0" applyBorder="1"/>
    <xf numFmtId="0" fontId="0" fillId="0" borderId="14" xfId="0" applyBorder="1"/>
    <xf numFmtId="44" fontId="0" fillId="0" borderId="19" xfId="2" applyFont="1" applyBorder="1"/>
    <xf numFmtId="44" fontId="0" fillId="0" borderId="14" xfId="2" applyFont="1" applyBorder="1"/>
    <xf numFmtId="0" fontId="0" fillId="0" borderId="18" xfId="0" applyFill="1" applyBorder="1" applyAlignment="1"/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Fill="1" applyBorder="1" applyAlignment="1"/>
    <xf numFmtId="44" fontId="0" fillId="0" borderId="19" xfId="2" applyFont="1" applyBorder="1" applyAlignment="1">
      <alignment horizontal="center"/>
    </xf>
    <xf numFmtId="44" fontId="0" fillId="0" borderId="19" xfId="2" applyFont="1" applyFill="1" applyBorder="1"/>
    <xf numFmtId="44" fontId="0" fillId="0" borderId="19" xfId="2" applyFont="1" applyFill="1" applyBorder="1" applyAlignment="1">
      <alignment horizontal="center"/>
    </xf>
    <xf numFmtId="44" fontId="0" fillId="0" borderId="12" xfId="2" applyFont="1" applyBorder="1" applyAlignment="1">
      <alignment wrapText="1"/>
    </xf>
    <xf numFmtId="0" fontId="0" fillId="0" borderId="12" xfId="0" applyBorder="1" applyAlignment="1">
      <alignment wrapText="1"/>
    </xf>
    <xf numFmtId="44" fontId="0" fillId="0" borderId="20" xfId="2" applyFont="1" applyBorder="1"/>
    <xf numFmtId="0" fontId="0" fillId="0" borderId="20" xfId="0" applyBorder="1"/>
    <xf numFmtId="0" fontId="0" fillId="0" borderId="16" xfId="0" applyBorder="1"/>
    <xf numFmtId="0" fontId="0" fillId="0" borderId="17" xfId="0" applyBorder="1"/>
    <xf numFmtId="166" fontId="0" fillId="0" borderId="8" xfId="0" applyNumberFormat="1" applyBorder="1"/>
    <xf numFmtId="44" fontId="0" fillId="0" borderId="8" xfId="0" applyNumberFormat="1" applyBorder="1"/>
    <xf numFmtId="44" fontId="0" fillId="0" borderId="8" xfId="0" applyNumberFormat="1" applyBorder="1" applyAlignment="1">
      <alignment horizontal="center"/>
    </xf>
    <xf numFmtId="44" fontId="0" fillId="0" borderId="0" xfId="0" applyNumberFormat="1"/>
    <xf numFmtId="0" fontId="0" fillId="0" borderId="8" xfId="0" applyFill="1" applyBorder="1" applyAlignment="1">
      <alignment horizontal="center"/>
    </xf>
    <xf numFmtId="1" fontId="0" fillId="0" borderId="8" xfId="0" applyNumberFormat="1" applyBorder="1"/>
    <xf numFmtId="0" fontId="0" fillId="0" borderId="8" xfId="0" applyBorder="1" applyAlignment="1">
      <alignment horizontal="center"/>
    </xf>
    <xf numFmtId="2" fontId="0" fillId="0" borderId="8" xfId="2" applyNumberFormat="1" applyFont="1" applyBorder="1"/>
    <xf numFmtId="0" fontId="0" fillId="0" borderId="8" xfId="0" applyBorder="1" applyAlignment="1">
      <alignment horizontal="center"/>
    </xf>
    <xf numFmtId="44" fontId="5" fillId="0" borderId="8" xfId="2" applyFont="1" applyBorder="1" applyAlignment="1">
      <alignment horizontal="center" wrapText="1"/>
    </xf>
    <xf numFmtId="44" fontId="0" fillId="0" borderId="8" xfId="2" applyFont="1" applyBorder="1" applyAlignment="1">
      <alignment horizontal="center"/>
    </xf>
    <xf numFmtId="0" fontId="0" fillId="0" borderId="0" xfId="0" applyFill="1" applyBorder="1" applyAlignment="1"/>
    <xf numFmtId="44" fontId="5" fillId="6" borderId="8" xfId="2" applyFont="1" applyFill="1" applyBorder="1" applyAlignment="1">
      <alignment wrapText="1"/>
    </xf>
    <xf numFmtId="44" fontId="0" fillId="6" borderId="8" xfId="2" applyFont="1" applyFill="1" applyBorder="1"/>
    <xf numFmtId="44" fontId="0" fillId="6" borderId="0" xfId="2" applyFont="1" applyFill="1" applyBorder="1"/>
    <xf numFmtId="44" fontId="0" fillId="6" borderId="12" xfId="2" applyFont="1" applyFill="1" applyBorder="1"/>
    <xf numFmtId="44" fontId="0" fillId="6" borderId="19" xfId="2" applyFont="1" applyFill="1" applyBorder="1"/>
    <xf numFmtId="44" fontId="0" fillId="6" borderId="14" xfId="2" applyFont="1" applyFill="1" applyBorder="1"/>
    <xf numFmtId="44" fontId="0" fillId="6" borderId="19" xfId="2" applyFont="1" applyFill="1" applyBorder="1" applyAlignment="1">
      <alignment horizontal="center"/>
    </xf>
    <xf numFmtId="0" fontId="0" fillId="6" borderId="19" xfId="0" applyFill="1" applyBorder="1"/>
    <xf numFmtId="0" fontId="0" fillId="6" borderId="14" xfId="0" applyFill="1" applyBorder="1"/>
    <xf numFmtId="8" fontId="0" fillId="6" borderId="19" xfId="2" applyNumberFormat="1" applyFont="1" applyFill="1" applyBorder="1" applyAlignment="1">
      <alignment horizontal="center"/>
    </xf>
    <xf numFmtId="0" fontId="9" fillId="0" borderId="8" xfId="0" applyFont="1" applyBorder="1" applyAlignment="1">
      <alignment wrapText="1"/>
    </xf>
    <xf numFmtId="0" fontId="8" fillId="0" borderId="8" xfId="0" applyFont="1" applyBorder="1"/>
    <xf numFmtId="0" fontId="8" fillId="0" borderId="8" xfId="0" applyFont="1" applyBorder="1" applyAlignment="1">
      <alignment wrapText="1"/>
    </xf>
    <xf numFmtId="0" fontId="11" fillId="0" borderId="0" xfId="0" applyFont="1"/>
    <xf numFmtId="0" fontId="11" fillId="0" borderId="8" xfId="0" applyFont="1" applyBorder="1"/>
    <xf numFmtId="0" fontId="10" fillId="0" borderId="0" xfId="0" applyFont="1"/>
    <xf numFmtId="44" fontId="10" fillId="0" borderId="8" xfId="2" applyFont="1" applyBorder="1" applyAlignment="1">
      <alignment wrapText="1"/>
    </xf>
    <xf numFmtId="44" fontId="10" fillId="0" borderId="8" xfId="2" applyFont="1" applyBorder="1" applyAlignment="1">
      <alignment horizontal="center" wrapText="1"/>
    </xf>
    <xf numFmtId="44" fontId="11" fillId="0" borderId="8" xfId="0" applyNumberFormat="1" applyFont="1" applyBorder="1"/>
    <xf numFmtId="44" fontId="11" fillId="0" borderId="8" xfId="0" applyNumberFormat="1" applyFont="1" applyBorder="1" applyAlignment="1">
      <alignment horizontal="center"/>
    </xf>
    <xf numFmtId="44" fontId="11" fillId="0" borderId="8" xfId="2" applyFont="1" applyBorder="1" applyAlignment="1">
      <alignment horizontal="center"/>
    </xf>
    <xf numFmtId="44" fontId="11" fillId="0" borderId="0" xfId="0" applyNumberFormat="1" applyFont="1"/>
    <xf numFmtId="0" fontId="9" fillId="0" borderId="8" xfId="0" applyFont="1" applyBorder="1" applyAlignment="1">
      <alignment horizontal="center" wrapText="1"/>
    </xf>
    <xf numFmtId="0" fontId="8" fillId="0" borderId="8" xfId="0" applyFont="1" applyFill="1" applyBorder="1"/>
    <xf numFmtId="0" fontId="0" fillId="0" borderId="0" xfId="0" applyAlignment="1">
      <alignment wrapText="1"/>
    </xf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3" fontId="0" fillId="0" borderId="8" xfId="0" applyNumberFormat="1" applyBorder="1"/>
    <xf numFmtId="44" fontId="0" fillId="8" borderId="0" xfId="0" applyNumberFormat="1" applyFill="1"/>
    <xf numFmtId="0" fontId="0" fillId="6" borderId="8" xfId="0" applyFill="1" applyBorder="1"/>
    <xf numFmtId="0" fontId="0" fillId="0" borderId="8" xfId="0" applyFill="1" applyBorder="1" applyAlignment="1">
      <alignment horizontal="center" wrapText="1"/>
    </xf>
    <xf numFmtId="5" fontId="0" fillId="0" borderId="8" xfId="2" applyNumberFormat="1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44" fontId="0" fillId="7" borderId="9" xfId="2" applyFont="1" applyFill="1" applyBorder="1"/>
    <xf numFmtId="44" fontId="0" fillId="0" borderId="15" xfId="2" applyFont="1" applyFill="1" applyBorder="1"/>
    <xf numFmtId="44" fontId="0" fillId="7" borderId="13" xfId="2" applyFont="1" applyFill="1" applyBorder="1"/>
    <xf numFmtId="44" fontId="0" fillId="0" borderId="9" xfId="2" applyFont="1" applyFill="1" applyBorder="1"/>
    <xf numFmtId="44" fontId="0" fillId="0" borderId="15" xfId="2" applyFont="1" applyBorder="1"/>
    <xf numFmtId="0" fontId="0" fillId="0" borderId="21" xfId="0" applyFill="1" applyBorder="1"/>
    <xf numFmtId="0" fontId="5" fillId="0" borderId="21" xfId="0" applyFont="1" applyFill="1" applyBorder="1"/>
    <xf numFmtId="0" fontId="5" fillId="0" borderId="18" xfId="0" applyFont="1" applyBorder="1"/>
    <xf numFmtId="10" fontId="0" fillId="0" borderId="0" xfId="0" applyNumberFormat="1"/>
    <xf numFmtId="10" fontId="0" fillId="0" borderId="8" xfId="3" applyNumberFormat="1" applyFont="1" applyBorder="1"/>
    <xf numFmtId="10" fontId="0" fillId="0" borderId="8" xfId="3" applyNumberFormat="1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44" fontId="0" fillId="0" borderId="8" xfId="2" applyFont="1" applyBorder="1" applyAlignment="1">
      <alignment horizontal="center"/>
    </xf>
    <xf numFmtId="0" fontId="14" fillId="0" borderId="8" xfId="0" applyFont="1" applyBorder="1" applyAlignment="1">
      <alignment wrapText="1"/>
    </xf>
    <xf numFmtId="44" fontId="14" fillId="0" borderId="8" xfId="2" applyFont="1" applyFill="1" applyBorder="1" applyAlignment="1">
      <alignment wrapText="1"/>
    </xf>
    <xf numFmtId="44" fontId="14" fillId="0" borderId="0" xfId="2" applyFont="1" applyFill="1" applyBorder="1" applyAlignment="1">
      <alignment wrapText="1"/>
    </xf>
    <xf numFmtId="0" fontId="15" fillId="0" borderId="0" xfId="0" applyFont="1"/>
    <xf numFmtId="0" fontId="15" fillId="0" borderId="1" xfId="0" applyFont="1" applyBorder="1" applyAlignment="1">
      <alignment wrapText="1"/>
    </xf>
    <xf numFmtId="0" fontId="15" fillId="0" borderId="2" xfId="0" applyFont="1" applyBorder="1" applyAlignment="1">
      <alignment wrapText="1"/>
    </xf>
    <xf numFmtId="44" fontId="15" fillId="0" borderId="2" xfId="2" applyFont="1" applyFill="1" applyBorder="1" applyAlignment="1">
      <alignment wrapText="1"/>
    </xf>
    <xf numFmtId="0" fontId="14" fillId="0" borderId="8" xfId="0" applyFont="1" applyBorder="1"/>
    <xf numFmtId="44" fontId="15" fillId="0" borderId="8" xfId="2" applyFont="1" applyFill="1" applyBorder="1"/>
    <xf numFmtId="44" fontId="15" fillId="0" borderId="0" xfId="2" applyFont="1" applyFill="1" applyBorder="1"/>
    <xf numFmtId="0" fontId="15" fillId="13" borderId="0" xfId="0" applyFont="1" applyFill="1"/>
    <xf numFmtId="0" fontId="15" fillId="0" borderId="8" xfId="0" applyFont="1" applyBorder="1"/>
    <xf numFmtId="44" fontId="15" fillId="14" borderId="8" xfId="2" applyFont="1" applyFill="1" applyBorder="1"/>
    <xf numFmtId="0" fontId="15" fillId="0" borderId="0" xfId="0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2" fontId="15" fillId="0" borderId="0" xfId="0" applyNumberFormat="1" applyFont="1"/>
    <xf numFmtId="44" fontId="15" fillId="14" borderId="8" xfId="0" applyNumberFormat="1" applyFont="1" applyFill="1" applyBorder="1"/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4" fillId="13" borderId="0" xfId="0" applyFont="1" applyFill="1" applyAlignment="1">
      <alignment wrapText="1"/>
    </xf>
    <xf numFmtId="0" fontId="14" fillId="0" borderId="0" xfId="0" applyFont="1" applyAlignment="1">
      <alignment wrapText="1"/>
    </xf>
    <xf numFmtId="2" fontId="15" fillId="0" borderId="0" xfId="2" applyNumberFormat="1" applyFont="1" applyFill="1" applyBorder="1"/>
    <xf numFmtId="0" fontId="15" fillId="0" borderId="0" xfId="2" applyNumberFormat="1" applyFont="1" applyFill="1" applyBorder="1"/>
    <xf numFmtId="0" fontId="0" fillId="0" borderId="8" xfId="0" applyBorder="1" applyAlignment="1">
      <alignment horizontal="center" wrapText="1"/>
    </xf>
    <xf numFmtId="44" fontId="0" fillId="0" borderId="0" xfId="0" applyNumberFormat="1" applyBorder="1"/>
    <xf numFmtId="165" fontId="0" fillId="3" borderId="8" xfId="0" applyNumberFormat="1" applyFill="1" applyBorder="1"/>
    <xf numFmtId="1" fontId="0" fillId="3" borderId="8" xfId="0" applyNumberFormat="1" applyFill="1" applyBorder="1"/>
    <xf numFmtId="165" fontId="0" fillId="4" borderId="8" xfId="0" applyNumberFormat="1" applyFill="1" applyBorder="1"/>
    <xf numFmtId="2" fontId="0" fillId="0" borderId="0" xfId="0" applyNumberFormat="1" applyBorder="1"/>
    <xf numFmtId="0" fontId="0" fillId="0" borderId="8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16" fillId="0" borderId="0" xfId="0" applyFont="1"/>
    <xf numFmtId="0" fontId="5" fillId="0" borderId="21" xfId="0" applyFont="1" applyFill="1" applyBorder="1" applyAlignment="1">
      <alignment wrapText="1"/>
    </xf>
    <xf numFmtId="44" fontId="18" fillId="14" borderId="8" xfId="2" applyFont="1" applyFill="1" applyBorder="1"/>
    <xf numFmtId="44" fontId="17" fillId="0" borderId="8" xfId="2" applyFont="1" applyFill="1" applyBorder="1"/>
    <xf numFmtId="44" fontId="17" fillId="7" borderId="8" xfId="2" applyFont="1" applyFill="1" applyBorder="1"/>
    <xf numFmtId="44" fontId="17" fillId="7" borderId="12" xfId="2" applyFont="1" applyFill="1" applyBorder="1"/>
    <xf numFmtId="44" fontId="17" fillId="0" borderId="8" xfId="0" applyNumberFormat="1" applyFont="1" applyBorder="1" applyAlignment="1">
      <alignment horizontal="center"/>
    </xf>
    <xf numFmtId="0" fontId="0" fillId="0" borderId="18" xfId="0" applyFill="1" applyBorder="1" applyAlignment="1">
      <alignment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165" fontId="0" fillId="0" borderId="8" xfId="0" applyNumberForma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6" borderId="0" xfId="0" applyFont="1" applyFill="1" applyBorder="1" applyAlignment="1">
      <alignment wrapText="1"/>
    </xf>
    <xf numFmtId="10" fontId="0" fillId="0" borderId="0" xfId="3" applyNumberFormat="1" applyFont="1" applyBorder="1" applyAlignment="1">
      <alignment horizontal="center"/>
    </xf>
    <xf numFmtId="10" fontId="0" fillId="0" borderId="0" xfId="3" applyNumberFormat="1" applyFont="1" applyBorder="1"/>
    <xf numFmtId="10" fontId="0" fillId="0" borderId="8" xfId="3" applyNumberFormat="1" applyFont="1" applyBorder="1" applyAlignment="1"/>
    <xf numFmtId="10" fontId="0" fillId="0" borderId="8" xfId="0" applyNumberFormat="1" applyBorder="1" applyAlignment="1"/>
    <xf numFmtId="0" fontId="5" fillId="0" borderId="8" xfId="3" applyNumberFormat="1" applyFont="1" applyBorder="1" applyAlignment="1">
      <alignment horizontal="center"/>
    </xf>
    <xf numFmtId="0" fontId="5" fillId="0" borderId="8" xfId="3" applyNumberFormat="1" applyFont="1" applyBorder="1"/>
    <xf numFmtId="0" fontId="5" fillId="6" borderId="14" xfId="0" applyFont="1" applyFill="1" applyBorder="1" applyAlignment="1">
      <alignment horizontal="center"/>
    </xf>
    <xf numFmtId="44" fontId="0" fillId="0" borderId="0" xfId="2" applyFont="1" applyAlignment="1">
      <alignment horizontal="center"/>
    </xf>
    <xf numFmtId="0" fontId="0" fillId="0" borderId="8" xfId="0" applyBorder="1" applyAlignment="1">
      <alignment horizontal="center" vertical="center"/>
    </xf>
    <xf numFmtId="44" fontId="0" fillId="6" borderId="8" xfId="0" applyNumberFormat="1" applyFill="1" applyBorder="1"/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9" fontId="0" fillId="0" borderId="8" xfId="3" applyFont="1" applyBorder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5" fillId="8" borderId="13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center" wrapText="1"/>
    </xf>
    <xf numFmtId="0" fontId="5" fillId="8" borderId="0" xfId="0" applyFont="1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5" fillId="9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44" fontId="14" fillId="0" borderId="9" xfId="2" applyFont="1" applyFill="1" applyBorder="1" applyAlignment="1">
      <alignment horizontal="center" wrapText="1"/>
    </xf>
    <xf numFmtId="44" fontId="14" fillId="0" borderId="11" xfId="2" applyFont="1" applyFill="1" applyBorder="1" applyAlignment="1">
      <alignment horizontal="center" wrapText="1"/>
    </xf>
    <xf numFmtId="44" fontId="14" fillId="0" borderId="10" xfId="2" applyFont="1" applyFill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5" fillId="0" borderId="8" xfId="0" applyFont="1" applyBorder="1" applyAlignment="1">
      <alignment horizontal="center" vertical="center"/>
    </xf>
    <xf numFmtId="2" fontId="15" fillId="0" borderId="8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5" fillId="0" borderId="8" xfId="0" applyFont="1" applyBorder="1" applyAlignment="1">
      <alignment horizontal="center"/>
    </xf>
    <xf numFmtId="2" fontId="15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44" fontId="17" fillId="0" borderId="9" xfId="2" applyFont="1" applyBorder="1" applyAlignment="1">
      <alignment horizontal="center"/>
    </xf>
    <xf numFmtId="44" fontId="17" fillId="0" borderId="10" xfId="2" applyFont="1" applyBorder="1" applyAlignment="1">
      <alignment horizontal="center"/>
    </xf>
    <xf numFmtId="44" fontId="0" fillId="0" borderId="15" xfId="2" applyFont="1" applyBorder="1" applyAlignment="1">
      <alignment horizontal="center"/>
    </xf>
    <xf numFmtId="44" fontId="0" fillId="0" borderId="16" xfId="2" applyFont="1" applyBorder="1" applyAlignment="1">
      <alignment horizontal="center"/>
    </xf>
    <xf numFmtId="44" fontId="0" fillId="0" borderId="8" xfId="2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44" fontId="0" fillId="0" borderId="8" xfId="2" applyFont="1" applyBorder="1" applyAlignment="1">
      <alignment horizontal="center"/>
    </xf>
    <xf numFmtId="44" fontId="0" fillId="0" borderId="9" xfId="2" applyFont="1" applyBorder="1" applyAlignment="1">
      <alignment horizontal="center"/>
    </xf>
    <xf numFmtId="44" fontId="0" fillId="0" borderId="10" xfId="2" applyFont="1" applyBorder="1" applyAlignment="1">
      <alignment horizontal="center"/>
    </xf>
    <xf numFmtId="44" fontId="0" fillId="0" borderId="9" xfId="2" applyFont="1" applyFill="1" applyBorder="1" applyAlignment="1">
      <alignment horizontal="center"/>
    </xf>
    <xf numFmtId="44" fontId="0" fillId="0" borderId="10" xfId="2" applyFont="1" applyFill="1" applyBorder="1" applyAlignment="1">
      <alignment horizontal="center"/>
    </xf>
    <xf numFmtId="44" fontId="0" fillId="0" borderId="15" xfId="2" applyFont="1" applyFill="1" applyBorder="1" applyAlignment="1">
      <alignment horizontal="center"/>
    </xf>
    <xf numFmtId="44" fontId="0" fillId="0" borderId="16" xfId="2" applyFont="1" applyFill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44" fontId="5" fillId="0" borderId="8" xfId="2" applyFont="1" applyBorder="1" applyAlignment="1">
      <alignment horizontal="center" wrapText="1"/>
    </xf>
    <xf numFmtId="44" fontId="0" fillId="0" borderId="6" xfId="2" applyFont="1" applyBorder="1" applyAlignment="1">
      <alignment horizontal="center"/>
    </xf>
    <xf numFmtId="44" fontId="0" fillId="0" borderId="20" xfId="2" applyFont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44" fontId="5" fillId="6" borderId="8" xfId="2" applyFont="1" applyFill="1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8" xfId="0" applyFill="1" applyBorder="1" applyAlignment="1">
      <alignment horizontal="center"/>
    </xf>
    <xf numFmtId="44" fontId="0" fillId="0" borderId="15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2" applyNumberFormat="1" applyFont="1" applyBorder="1" applyAlignment="1">
      <alignment horizontal="left" vertical="top"/>
    </xf>
    <xf numFmtId="0" fontId="10" fillId="0" borderId="0" xfId="0" applyFont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0" borderId="8" xfId="0" applyBorder="1" applyAlignment="1">
      <alignment horizontal="center" vertical="top" wrapText="1"/>
    </xf>
  </cellXfs>
  <cellStyles count="5">
    <cellStyle name="Currency" xfId="2" builtinId="4"/>
    <cellStyle name="Normal" xfId="0" builtinId="0"/>
    <cellStyle name="Normal 10" xfId="4" xr:uid="{40608FC4-EDC4-4668-84B6-C648B041F88A}"/>
    <cellStyle name="Normal_Auto" xfId="1" xr:uid="{37B48DC7-B2F7-4F61-B6C2-C77DAD8479B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2.xml"/><Relationship Id="rId1" Type="http://schemas.microsoft.com/office/2011/relationships/chartStyle" Target="style12.xml"/><Relationship Id="rId4" Type="http://schemas.openxmlformats.org/officeDocument/2006/relationships/chartUserShapes" Target="../drawings/drawing5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3.xml"/><Relationship Id="rId1" Type="http://schemas.microsoft.com/office/2011/relationships/chartStyle" Target="style13.xml"/><Relationship Id="rId4" Type="http://schemas.openxmlformats.org/officeDocument/2006/relationships/chartUserShapes" Target="../drawings/drawing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New Vehicle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39686583501469E-2"/>
          <c:y val="7.3768511330449885E-2"/>
          <c:w val="0.88602326748836602"/>
          <c:h val="0.78885068943846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analysis_vehicles_h2production!$C$3</c:f>
              <c:strCache>
                <c:ptCount val="1"/>
                <c:pt idx="0">
                  <c:v>Cars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analysis_vehicles_h2production!$C$4:$C$9</c:f>
              <c:numCache>
                <c:formatCode>0.00</c:formatCode>
                <c:ptCount val="6"/>
                <c:pt idx="0">
                  <c:v>11.8</c:v>
                </c:pt>
                <c:pt idx="1">
                  <c:v>127.84999999999998</c:v>
                </c:pt>
                <c:pt idx="2">
                  <c:v>339.81818181818159</c:v>
                </c:pt>
                <c:pt idx="3">
                  <c:v>518.49545454545398</c:v>
                </c:pt>
                <c:pt idx="4">
                  <c:v>536.81818181818107</c:v>
                </c:pt>
                <c:pt idx="5">
                  <c:v>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12-4314-9632-9D5E0CEF0E60}"/>
            </c:ext>
          </c:extLst>
        </c:ser>
        <c:ser>
          <c:idx val="1"/>
          <c:order val="1"/>
          <c:tx>
            <c:strRef>
              <c:f>analysis_vehicles_h2production!$D$3</c:f>
              <c:strCache>
                <c:ptCount val="1"/>
                <c:pt idx="0">
                  <c:v>Light trucks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analysis_vehicles_h2production!$D$4:$D$9</c:f>
              <c:numCache>
                <c:formatCode>0.00</c:formatCode>
                <c:ptCount val="6"/>
                <c:pt idx="0">
                  <c:v>8.7000000000000011</c:v>
                </c:pt>
                <c:pt idx="1">
                  <c:v>88.907727272727271</c:v>
                </c:pt>
                <c:pt idx="2">
                  <c:v>255.54545454545459</c:v>
                </c:pt>
                <c:pt idx="3">
                  <c:v>395.01363636363646</c:v>
                </c:pt>
                <c:pt idx="4">
                  <c:v>414.54545454545473</c:v>
                </c:pt>
                <c:pt idx="5">
                  <c:v>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12-4314-9632-9D5E0CEF0E60}"/>
            </c:ext>
          </c:extLst>
        </c:ser>
        <c:ser>
          <c:idx val="2"/>
          <c:order val="2"/>
          <c:tx>
            <c:strRef>
              <c:f>analysis_vehicles_h2production!$E$3</c:f>
              <c:strCache>
                <c:ptCount val="1"/>
                <c:pt idx="0">
                  <c:v>Trucks HD long haul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analysis_vehicles_h2production!$E$4:$E$9</c:f>
              <c:numCache>
                <c:formatCode>0.00</c:formatCode>
                <c:ptCount val="6"/>
                <c:pt idx="0">
                  <c:v>8.5749999999999965E-2</c:v>
                </c:pt>
                <c:pt idx="1">
                  <c:v>0.62499999999999944</c:v>
                </c:pt>
                <c:pt idx="2">
                  <c:v>1.0199999999999987</c:v>
                </c:pt>
                <c:pt idx="3">
                  <c:v>1.3519999999999979</c:v>
                </c:pt>
                <c:pt idx="4">
                  <c:v>1.7754999999999965</c:v>
                </c:pt>
                <c:pt idx="5">
                  <c:v>1.8759999999999999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12-4314-9632-9D5E0CEF0E60}"/>
            </c:ext>
          </c:extLst>
        </c:ser>
        <c:ser>
          <c:idx val="3"/>
          <c:order val="3"/>
          <c:tx>
            <c:strRef>
              <c:f>analysis_vehicles_h2production!$F$3</c:f>
              <c:strCache>
                <c:ptCount val="1"/>
                <c:pt idx="0">
                  <c:v>Trucks HD short haul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analysis_vehicles_h2production!$F$4:$F$9</c:f>
              <c:numCache>
                <c:formatCode>0.00</c:formatCode>
                <c:ptCount val="6"/>
                <c:pt idx="0">
                  <c:v>0.32262500000000005</c:v>
                </c:pt>
                <c:pt idx="1">
                  <c:v>3.7125000000000012</c:v>
                </c:pt>
                <c:pt idx="2">
                  <c:v>7.962500000000003</c:v>
                </c:pt>
                <c:pt idx="3">
                  <c:v>10.925000000000006</c:v>
                </c:pt>
                <c:pt idx="4">
                  <c:v>11.625000000000009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12-4314-9632-9D5E0CEF0E60}"/>
            </c:ext>
          </c:extLst>
        </c:ser>
        <c:ser>
          <c:idx val="4"/>
          <c:order val="4"/>
          <c:tx>
            <c:strRef>
              <c:f>analysis_vehicles_h2production!$G$3</c:f>
              <c:strCache>
                <c:ptCount val="1"/>
                <c:pt idx="0">
                  <c:v>MD delivery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analysis_vehicles_h2production!$G$4:$G$9</c:f>
              <c:numCache>
                <c:formatCode>0.00</c:formatCode>
                <c:ptCount val="6"/>
                <c:pt idx="0">
                  <c:v>0</c:v>
                </c:pt>
                <c:pt idx="1">
                  <c:v>2.8000000000000029</c:v>
                </c:pt>
                <c:pt idx="2">
                  <c:v>8.9250000000000096</c:v>
                </c:pt>
                <c:pt idx="3">
                  <c:v>15.750000000000021</c:v>
                </c:pt>
                <c:pt idx="4">
                  <c:v>16.625000000000025</c:v>
                </c:pt>
                <c:pt idx="5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12-4314-9632-9D5E0CEF0E60}"/>
            </c:ext>
          </c:extLst>
        </c:ser>
        <c:ser>
          <c:idx val="5"/>
          <c:order val="5"/>
          <c:tx>
            <c:strRef>
              <c:f>analysis_vehicles_h2production!$H$3</c:f>
              <c:strCache>
                <c:ptCount val="1"/>
                <c:pt idx="0">
                  <c:v>Transit Bus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analysis_vehicles_h2production!$H$4:$H$9</c:f>
              <c:numCache>
                <c:formatCode>0.00</c:formatCode>
                <c:ptCount val="6"/>
                <c:pt idx="0">
                  <c:v>0.33875000000000033</c:v>
                </c:pt>
                <c:pt idx="1">
                  <c:v>0.69000000000000083</c:v>
                </c:pt>
                <c:pt idx="2">
                  <c:v>1.1240000000000014</c:v>
                </c:pt>
                <c:pt idx="3">
                  <c:v>1.7875000000000028</c:v>
                </c:pt>
                <c:pt idx="4">
                  <c:v>1.8187500000000032</c:v>
                </c:pt>
                <c:pt idx="5">
                  <c:v>1.85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12-4314-9632-9D5E0CEF0E60}"/>
            </c:ext>
          </c:extLst>
        </c:ser>
        <c:ser>
          <c:idx val="6"/>
          <c:order val="6"/>
          <c:tx>
            <c:strRef>
              <c:f>analysis_vehicles_h2production!$I$3</c:f>
              <c:strCache>
                <c:ptCount val="1"/>
                <c:pt idx="0">
                  <c:v>Other Bus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analysis_vehicles_h2production!$I$4:$I$9</c:f>
              <c:numCache>
                <c:formatCode>0.00</c:formatCode>
                <c:ptCount val="6"/>
                <c:pt idx="0">
                  <c:v>0</c:v>
                </c:pt>
                <c:pt idx="1">
                  <c:v>0.22000000000000011</c:v>
                </c:pt>
                <c:pt idx="2">
                  <c:v>0.72800000000000054</c:v>
                </c:pt>
                <c:pt idx="3">
                  <c:v>1.1750000000000012</c:v>
                </c:pt>
                <c:pt idx="4">
                  <c:v>1.2125000000000015</c:v>
                </c:pt>
                <c:pt idx="5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12-4314-9632-9D5E0CEF0E60}"/>
            </c:ext>
          </c:extLst>
        </c:ser>
        <c:ser>
          <c:idx val="7"/>
          <c:order val="7"/>
          <c:tx>
            <c:strRef>
              <c:f>analysis_vehicles_h2production!$J$3</c:f>
              <c:strCache>
                <c:ptCount val="1"/>
                <c:pt idx="0">
                  <c:v>HD vocational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analysis_vehicles_h2production!$J$4:$J$9</c:f>
              <c:numCache>
                <c:formatCode>0.00</c:formatCode>
                <c:ptCount val="6"/>
                <c:pt idx="0">
                  <c:v>0</c:v>
                </c:pt>
                <c:pt idx="1">
                  <c:v>0.76500000000000057</c:v>
                </c:pt>
                <c:pt idx="2">
                  <c:v>2.3062500000000021</c:v>
                </c:pt>
                <c:pt idx="3">
                  <c:v>3.8625000000000043</c:v>
                </c:pt>
                <c:pt idx="4">
                  <c:v>3.881250000000005</c:v>
                </c:pt>
                <c:pt idx="5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12-4314-9632-9D5E0CEF0E60}"/>
            </c:ext>
          </c:extLst>
        </c:ser>
        <c:ser>
          <c:idx val="8"/>
          <c:order val="8"/>
          <c:tx>
            <c:strRef>
              <c:f>analysis_vehicles_h2production!$K$3</c:f>
              <c:strCache>
                <c:ptCount val="1"/>
                <c:pt idx="0">
                  <c:v>MD vocational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analysis_vehicles_h2production!$K$4:$K$9</c:f>
              <c:numCache>
                <c:formatCode>0.00</c:formatCode>
                <c:ptCount val="6"/>
                <c:pt idx="0">
                  <c:v>0</c:v>
                </c:pt>
                <c:pt idx="1">
                  <c:v>0.23500000000000038</c:v>
                </c:pt>
                <c:pt idx="2">
                  <c:v>0.96500000000000186</c:v>
                </c:pt>
                <c:pt idx="3">
                  <c:v>1.2375000000000027</c:v>
                </c:pt>
                <c:pt idx="4">
                  <c:v>1.2687500000000032</c:v>
                </c:pt>
                <c:pt idx="5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1-47D5-995F-C6AFAE083753}"/>
            </c:ext>
          </c:extLst>
        </c:ser>
        <c:ser>
          <c:idx val="9"/>
          <c:order val="9"/>
          <c:tx>
            <c:strRef>
              <c:f>analysis_vehicles_h2production!$L$3</c:f>
              <c:strCache>
                <c:ptCount val="1"/>
                <c:pt idx="0">
                  <c:v>Trucks HD pickup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analysis_vehicles_h2production!$B$4:$B$9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analysis_vehicles_h2production!$L$4:$L$9</c:f>
              <c:numCache>
                <c:formatCode>0.00</c:formatCode>
                <c:ptCount val="6"/>
                <c:pt idx="0">
                  <c:v>0</c:v>
                </c:pt>
                <c:pt idx="1">
                  <c:v>11.849999999999991</c:v>
                </c:pt>
                <c:pt idx="2">
                  <c:v>32.199999999999974</c:v>
                </c:pt>
                <c:pt idx="3">
                  <c:v>40.999999999999957</c:v>
                </c:pt>
                <c:pt idx="4">
                  <c:v>41.74999999999995</c:v>
                </c:pt>
                <c:pt idx="5">
                  <c:v>42.5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C1-47D5-995F-C6AFAE0837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83234655"/>
        <c:axId val="1892546079"/>
      </c:scatterChart>
      <c:valAx>
        <c:axId val="1883234655"/>
        <c:scaling>
          <c:orientation val="minMax"/>
          <c:max val="2050"/>
          <c:min val="20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46079"/>
        <c:crosses val="autoZero"/>
        <c:crossBetween val="midCat"/>
        <c:majorUnit val="5"/>
      </c:valAx>
      <c:valAx>
        <c:axId val="1892546079"/>
        <c:scaling>
          <c:orientation val="minMax"/>
          <c:max val="6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VeHICLE Sales (Thousands)</a:t>
                </a:r>
              </a:p>
            </c:rich>
          </c:tx>
          <c:layout>
            <c:manualLayout>
              <c:xMode val="edge"/>
              <c:yMode val="edge"/>
              <c:x val="1.1190149636947637E-2"/>
              <c:y val="0.20109097630401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32346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110445768027304"/>
          <c:y val="0.11812551971274261"/>
          <c:w val="0.78704954640534575"/>
          <c:h val="0.17313075302206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Annual hydrogen demand</a:t>
            </a:r>
          </a:p>
        </c:rich>
      </c:tx>
      <c:layout>
        <c:manualLayout>
          <c:xMode val="edge"/>
          <c:yMode val="edge"/>
          <c:x val="0.25725981463472442"/>
          <c:y val="7.640878701050620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984796621927602E-2"/>
          <c:y val="4.7879355045397927E-2"/>
          <c:w val="0.8911147739117764"/>
          <c:h val="0.867756756295649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analysis_vehicles_h2production!$C$64</c:f>
              <c:strCache>
                <c:ptCount val="1"/>
                <c:pt idx="0">
                  <c:v>Cars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analysis_vehicles_h2production!$C$65:$C$70</c:f>
              <c:numCache>
                <c:formatCode>0.00</c:formatCode>
                <c:ptCount val="6"/>
                <c:pt idx="0">
                  <c:v>10.71</c:v>
                </c:pt>
                <c:pt idx="1">
                  <c:v>98.7</c:v>
                </c:pt>
                <c:pt idx="2">
                  <c:v>281.66000000000003</c:v>
                </c:pt>
                <c:pt idx="3">
                  <c:v>605.46</c:v>
                </c:pt>
                <c:pt idx="4">
                  <c:v>908.12</c:v>
                </c:pt>
                <c:pt idx="5">
                  <c:v>1111.47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7-4CDE-8345-E1E973946DF0}"/>
            </c:ext>
          </c:extLst>
        </c:ser>
        <c:ser>
          <c:idx val="1"/>
          <c:order val="1"/>
          <c:tx>
            <c:strRef>
              <c:f>analysis_vehicles_h2production!$D$64</c:f>
              <c:strCache>
                <c:ptCount val="1"/>
                <c:pt idx="0">
                  <c:v>Light trucks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analysis_vehicles_h2production!$D$65:$D$70</c:f>
              <c:numCache>
                <c:formatCode>0.00</c:formatCode>
                <c:ptCount val="6"/>
                <c:pt idx="0">
                  <c:v>9.3699999999999992</c:v>
                </c:pt>
                <c:pt idx="1">
                  <c:v>112.39</c:v>
                </c:pt>
                <c:pt idx="2">
                  <c:v>334.36</c:v>
                </c:pt>
                <c:pt idx="3">
                  <c:v>739.64</c:v>
                </c:pt>
                <c:pt idx="4">
                  <c:v>1147.97</c:v>
                </c:pt>
                <c:pt idx="5">
                  <c:v>1462.1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A7-4CDE-8345-E1E973946DF0}"/>
            </c:ext>
          </c:extLst>
        </c:ser>
        <c:ser>
          <c:idx val="2"/>
          <c:order val="2"/>
          <c:tx>
            <c:strRef>
              <c:f>analysis_vehicles_h2production!$E$64</c:f>
              <c:strCache>
                <c:ptCount val="1"/>
                <c:pt idx="0">
                  <c:v>Trucks HD long haul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analysis_vehicles_h2production!$E$65:$E$70</c:f>
              <c:numCache>
                <c:formatCode>0.00</c:formatCode>
                <c:ptCount val="6"/>
                <c:pt idx="0">
                  <c:v>9.09</c:v>
                </c:pt>
                <c:pt idx="1">
                  <c:v>105.61</c:v>
                </c:pt>
                <c:pt idx="2">
                  <c:v>318.76</c:v>
                </c:pt>
                <c:pt idx="3">
                  <c:v>567.83000000000004</c:v>
                </c:pt>
                <c:pt idx="4">
                  <c:v>749.71</c:v>
                </c:pt>
                <c:pt idx="5">
                  <c:v>838.41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A7-4CDE-8345-E1E973946DF0}"/>
            </c:ext>
          </c:extLst>
        </c:ser>
        <c:ser>
          <c:idx val="3"/>
          <c:order val="3"/>
          <c:tx>
            <c:strRef>
              <c:f>analysis_vehicles_h2production!$F$64</c:f>
              <c:strCache>
                <c:ptCount val="1"/>
                <c:pt idx="0">
                  <c:v>Trucks HD short haul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analysis_vehicles_h2production!$F$65:$F$70</c:f>
              <c:numCache>
                <c:formatCode>0.00</c:formatCode>
                <c:ptCount val="6"/>
                <c:pt idx="0">
                  <c:v>0.9</c:v>
                </c:pt>
                <c:pt idx="1">
                  <c:v>7.4</c:v>
                </c:pt>
                <c:pt idx="2">
                  <c:v>19.68</c:v>
                </c:pt>
                <c:pt idx="3">
                  <c:v>34.590000000000003</c:v>
                </c:pt>
                <c:pt idx="4">
                  <c:v>50.32</c:v>
                </c:pt>
                <c:pt idx="5">
                  <c:v>62.59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A7-4CDE-8345-E1E973946DF0}"/>
            </c:ext>
          </c:extLst>
        </c:ser>
        <c:ser>
          <c:idx val="4"/>
          <c:order val="4"/>
          <c:tx>
            <c:strRef>
              <c:f>analysis_vehicles_h2production!$G$64</c:f>
              <c:strCache>
                <c:ptCount val="1"/>
                <c:pt idx="0">
                  <c:v>MD delivery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analysis_vehicles_h2production!$G$65:$G$70</c:f>
              <c:numCache>
                <c:formatCode>0.00</c:formatCode>
                <c:ptCount val="6"/>
                <c:pt idx="0">
                  <c:v>0</c:v>
                </c:pt>
                <c:pt idx="1">
                  <c:v>10.199999999999999</c:v>
                </c:pt>
                <c:pt idx="2">
                  <c:v>44.89</c:v>
                </c:pt>
                <c:pt idx="3">
                  <c:v>102.63</c:v>
                </c:pt>
                <c:pt idx="4">
                  <c:v>152.75</c:v>
                </c:pt>
                <c:pt idx="5">
                  <c:v>182.47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A7-4CDE-8345-E1E973946DF0}"/>
            </c:ext>
          </c:extLst>
        </c:ser>
        <c:ser>
          <c:idx val="5"/>
          <c:order val="5"/>
          <c:tx>
            <c:strRef>
              <c:f>analysis_vehicles_h2production!$H$64</c:f>
              <c:strCache>
                <c:ptCount val="1"/>
                <c:pt idx="0">
                  <c:v>Transit Bus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analysis_vehicles_h2production!$H$65:$H$70</c:f>
              <c:numCache>
                <c:formatCode>0.00</c:formatCode>
                <c:ptCount val="6"/>
                <c:pt idx="0">
                  <c:v>2</c:v>
                </c:pt>
                <c:pt idx="1">
                  <c:v>6.88</c:v>
                </c:pt>
                <c:pt idx="2">
                  <c:v>14.31</c:v>
                </c:pt>
                <c:pt idx="3">
                  <c:v>24.27</c:v>
                </c:pt>
                <c:pt idx="4">
                  <c:v>33.4</c:v>
                </c:pt>
                <c:pt idx="5">
                  <c:v>38.64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A7-4CDE-8345-E1E973946DF0}"/>
            </c:ext>
          </c:extLst>
        </c:ser>
        <c:ser>
          <c:idx val="6"/>
          <c:order val="6"/>
          <c:tx>
            <c:strRef>
              <c:f>analysis_vehicles_h2production!$I$64</c:f>
              <c:strCache>
                <c:ptCount val="1"/>
                <c:pt idx="0">
                  <c:v>Other Bus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analysis_vehicles_h2production!$I$65:$I$70</c:f>
              <c:numCache>
                <c:formatCode>0.00</c:formatCode>
                <c:ptCount val="6"/>
                <c:pt idx="0">
                  <c:v>0</c:v>
                </c:pt>
                <c:pt idx="1">
                  <c:v>0.88</c:v>
                </c:pt>
                <c:pt idx="2">
                  <c:v>4.08</c:v>
                </c:pt>
                <c:pt idx="3">
                  <c:v>9.25</c:v>
                </c:pt>
                <c:pt idx="4">
                  <c:v>13.69</c:v>
                </c:pt>
                <c:pt idx="5">
                  <c:v>16.18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A7-4CDE-8345-E1E973946DF0}"/>
            </c:ext>
          </c:extLst>
        </c:ser>
        <c:ser>
          <c:idx val="7"/>
          <c:order val="7"/>
          <c:tx>
            <c:strRef>
              <c:f>analysis_vehicles_h2production!$J$64</c:f>
              <c:strCache>
                <c:ptCount val="1"/>
                <c:pt idx="0">
                  <c:v>HD vocational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analysis_vehicles_h2production!$J$65:$J$70</c:f>
              <c:numCache>
                <c:formatCode>0.00</c:formatCode>
                <c:ptCount val="6"/>
                <c:pt idx="0">
                  <c:v>0</c:v>
                </c:pt>
                <c:pt idx="1">
                  <c:v>3.74</c:v>
                </c:pt>
                <c:pt idx="2">
                  <c:v>16.25</c:v>
                </c:pt>
                <c:pt idx="3">
                  <c:v>37</c:v>
                </c:pt>
                <c:pt idx="4">
                  <c:v>55.88</c:v>
                </c:pt>
                <c:pt idx="5">
                  <c:v>67.42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A7-4CDE-8345-E1E973946DF0}"/>
            </c:ext>
          </c:extLst>
        </c:ser>
        <c:ser>
          <c:idx val="8"/>
          <c:order val="8"/>
          <c:tx>
            <c:strRef>
              <c:f>analysis_vehicles_h2production!$K$64</c:f>
              <c:strCache>
                <c:ptCount val="1"/>
                <c:pt idx="0">
                  <c:v>MD vocational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analysis_vehicles_h2production!$K$65:$K$70</c:f>
              <c:numCache>
                <c:formatCode>0.00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1.08</c:v>
                </c:pt>
                <c:pt idx="3">
                  <c:v>2.33</c:v>
                </c:pt>
                <c:pt idx="4">
                  <c:v>3.31</c:v>
                </c:pt>
                <c:pt idx="5">
                  <c:v>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F4-414B-97EB-1D985141F6A9}"/>
            </c:ext>
          </c:extLst>
        </c:ser>
        <c:ser>
          <c:idx val="9"/>
          <c:order val="9"/>
          <c:tx>
            <c:strRef>
              <c:f>analysis_vehicles_h2production!$L$64</c:f>
              <c:strCache>
                <c:ptCount val="1"/>
                <c:pt idx="0">
                  <c:v>Trucks HD pickup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analysis_vehicles_h2production!$B$65:$B$70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analysis_vehicles_h2production!$L$65:$L$70</c:f>
              <c:numCache>
                <c:formatCode>0.00</c:formatCode>
                <c:ptCount val="6"/>
                <c:pt idx="0">
                  <c:v>0</c:v>
                </c:pt>
                <c:pt idx="1">
                  <c:v>11.49</c:v>
                </c:pt>
                <c:pt idx="2">
                  <c:v>43.3</c:v>
                </c:pt>
                <c:pt idx="3">
                  <c:v>80.37</c:v>
                </c:pt>
                <c:pt idx="4">
                  <c:v>105.91</c:v>
                </c:pt>
                <c:pt idx="5">
                  <c:v>119.29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F4-414B-97EB-1D985141F6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83234655"/>
        <c:axId val="1892546079"/>
      </c:barChart>
      <c:catAx>
        <c:axId val="188323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46079"/>
        <c:crosses val="autoZero"/>
        <c:auto val="1"/>
        <c:lblAlgn val="ctr"/>
        <c:lblOffset val="100"/>
        <c:noMultiLvlLbl val="0"/>
      </c:catAx>
      <c:valAx>
        <c:axId val="1892546079"/>
        <c:scaling>
          <c:orientation val="minMax"/>
          <c:max val="4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hydrogen demand  (</a:t>
                </a:r>
                <a:r>
                  <a:rPr lang="en-US" b="1" cap="none" baseline="0"/>
                  <a:t>million kilograms</a:t>
                </a:r>
                <a:r>
                  <a:rPr lang="en-US" b="1"/>
                  <a:t>)</a:t>
                </a:r>
              </a:p>
            </c:rich>
          </c:tx>
          <c:layout>
            <c:manualLayout>
              <c:xMode val="edge"/>
              <c:yMode val="edge"/>
              <c:x val="2.0235828730363923E-2"/>
              <c:y val="0.12674406498047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3234655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080418562589488"/>
          <c:y val="8.9482385407787329E-2"/>
          <c:w val="0.54994632926820819"/>
          <c:h val="0.281511336237418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 Hydrogen production facilities </a:t>
            </a:r>
          </a:p>
        </c:rich>
      </c:tx>
      <c:layout>
        <c:manualLayout>
          <c:xMode val="edge"/>
          <c:yMode val="edge"/>
          <c:x val="0.2363652968036529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924963146729941E-2"/>
          <c:y val="8.6444059423825673E-2"/>
          <c:w val="0.89669305720346604"/>
          <c:h val="0.7928166721681865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analysis_vehicles_h2production!$B$84:$B$85</c:f>
              <c:strCache>
                <c:ptCount val="2"/>
                <c:pt idx="0">
                  <c:v>Central plant(30 tpd)</c:v>
                </c:pt>
                <c:pt idx="1">
                  <c:v>SMR(CCS)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analysis_vehicles_h2production!$A$86:$A$88</c:f>
              <c:strCache>
                <c:ptCount val="3"/>
                <c:pt idx="0">
                  <c:v>Near term (2025-2030)</c:v>
                </c:pt>
                <c:pt idx="1">
                  <c:v>Mid term (2030-2040)</c:v>
                </c:pt>
                <c:pt idx="2">
                  <c:v>Long term (2040-2050)</c:v>
                </c:pt>
              </c:strCache>
            </c:strRef>
          </c:cat>
          <c:val>
            <c:numRef>
              <c:f>analysis_vehicles_h2production!$B$86:$B$88</c:f>
              <c:numCache>
                <c:formatCode>General</c:formatCode>
                <c:ptCount val="3"/>
                <c:pt idx="0">
                  <c:v>24</c:v>
                </c:pt>
                <c:pt idx="1">
                  <c:v>83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9-4520-A44F-2042FD7B1FDB}"/>
            </c:ext>
          </c:extLst>
        </c:ser>
        <c:ser>
          <c:idx val="1"/>
          <c:order val="1"/>
          <c:tx>
            <c:strRef>
              <c:f>analysis_vehicles_h2production!$C$84:$C$85</c:f>
              <c:strCache>
                <c:ptCount val="2"/>
                <c:pt idx="0">
                  <c:v>Central plant(30 tpd)</c:v>
                </c:pt>
                <c:pt idx="1">
                  <c:v>Electrolysis(PEM)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analysis_vehicles_h2production!$A$86:$A$88</c:f>
              <c:strCache>
                <c:ptCount val="3"/>
                <c:pt idx="0">
                  <c:v>Near term (2025-2030)</c:v>
                </c:pt>
                <c:pt idx="1">
                  <c:v>Mid term (2030-2040)</c:v>
                </c:pt>
                <c:pt idx="2">
                  <c:v>Long term (2040-2050)</c:v>
                </c:pt>
              </c:strCache>
            </c:strRef>
          </c:cat>
          <c:val>
            <c:numRef>
              <c:f>analysis_vehicles_h2production!$C$86:$C$88</c:f>
              <c:numCache>
                <c:formatCode>General</c:formatCode>
                <c:ptCount val="3"/>
                <c:pt idx="0">
                  <c:v>6</c:v>
                </c:pt>
                <c:pt idx="1">
                  <c:v>103</c:v>
                </c:pt>
                <c:pt idx="2">
                  <c:v>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9-4520-A44F-2042FD7B1FDB}"/>
            </c:ext>
          </c:extLst>
        </c:ser>
        <c:ser>
          <c:idx val="2"/>
          <c:order val="2"/>
          <c:tx>
            <c:strRef>
              <c:f>analysis_vehicles_h2production!$D$84:$D$85</c:f>
              <c:strCache>
                <c:ptCount val="2"/>
                <c:pt idx="0">
                  <c:v>Distributed plant(5 tpd)</c:v>
                </c:pt>
                <c:pt idx="1">
                  <c:v>SMR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analysis_vehicles_h2production!$A$86:$A$88</c:f>
              <c:strCache>
                <c:ptCount val="3"/>
                <c:pt idx="0">
                  <c:v>Near term (2025-2030)</c:v>
                </c:pt>
                <c:pt idx="1">
                  <c:v>Mid term (2030-2040)</c:v>
                </c:pt>
                <c:pt idx="2">
                  <c:v>Long term (2040-2050)</c:v>
                </c:pt>
              </c:strCache>
            </c:strRef>
          </c:cat>
          <c:val>
            <c:numRef>
              <c:f>analysis_vehicles_h2production!$D$86:$D$88</c:f>
              <c:numCache>
                <c:formatCode>General</c:formatCode>
                <c:ptCount val="3"/>
                <c:pt idx="0">
                  <c:v>13</c:v>
                </c:pt>
                <c:pt idx="1">
                  <c:v>42</c:v>
                </c:pt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C9-4520-A44F-2042FD7B1FDB}"/>
            </c:ext>
          </c:extLst>
        </c:ser>
        <c:ser>
          <c:idx val="3"/>
          <c:order val="3"/>
          <c:tx>
            <c:strRef>
              <c:f>analysis_vehicles_h2production!$E$84:$E$85</c:f>
              <c:strCache>
                <c:ptCount val="2"/>
                <c:pt idx="0">
                  <c:v>Distributed plant(5 tpd)</c:v>
                </c:pt>
                <c:pt idx="1">
                  <c:v>Electrolysis(PEM)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analysis_vehicles_h2production!$A$86:$A$88</c:f>
              <c:strCache>
                <c:ptCount val="3"/>
                <c:pt idx="0">
                  <c:v>Near term (2025-2030)</c:v>
                </c:pt>
                <c:pt idx="1">
                  <c:v>Mid term (2030-2040)</c:v>
                </c:pt>
                <c:pt idx="2">
                  <c:v>Long term (2040-2050)</c:v>
                </c:pt>
              </c:strCache>
            </c:strRef>
          </c:cat>
          <c:val>
            <c:numRef>
              <c:f>analysis_vehicles_h2production!$E$86:$E$88</c:f>
              <c:numCache>
                <c:formatCode>General</c:formatCode>
                <c:ptCount val="3"/>
                <c:pt idx="0">
                  <c:v>4</c:v>
                </c:pt>
                <c:pt idx="1">
                  <c:v>50</c:v>
                </c:pt>
                <c:pt idx="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C9-4520-A44F-2042FD7B1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100"/>
        <c:axId val="1825815823"/>
        <c:axId val="1761408703"/>
      </c:barChart>
      <c:catAx>
        <c:axId val="182581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61408703"/>
        <c:crosses val="autoZero"/>
        <c:auto val="1"/>
        <c:lblAlgn val="ctr"/>
        <c:lblOffset val="100"/>
        <c:noMultiLvlLbl val="0"/>
      </c:catAx>
      <c:valAx>
        <c:axId val="176140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NUMber of</a:t>
                </a:r>
                <a:r>
                  <a:rPr lang="en-US" b="1" baseline="0"/>
                  <a:t> plants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81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7188821405389583E-2"/>
          <c:y val="6.8252974326862878E-2"/>
          <c:w val="0.69843127506003011"/>
          <c:h val="8.9754157997572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 HYDROGEN REFUELLING STATIONS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58705161854774E-2"/>
          <c:y val="9.7638888888888914E-2"/>
          <c:w val="0.89419685039370089"/>
          <c:h val="0.762183216681248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analysis_vehicles_h2production!$B$101</c:f>
              <c:strCache>
                <c:ptCount val="1"/>
                <c:pt idx="0">
                  <c:v>Urban refuelling station(1.5 tpd)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analysis_vehicles_h2production!$A$103:$A$105</c:f>
              <c:strCache>
                <c:ptCount val="3"/>
                <c:pt idx="0">
                  <c:v>Near term (2025-2030)</c:v>
                </c:pt>
                <c:pt idx="1">
                  <c:v>Mid term (2030-2040)</c:v>
                </c:pt>
                <c:pt idx="2">
                  <c:v>Long term (2040-2050)</c:v>
                </c:pt>
              </c:strCache>
            </c:strRef>
          </c:cat>
          <c:val>
            <c:numRef>
              <c:f>analysis_vehicles_h2production!$B$103:$B$105</c:f>
              <c:numCache>
                <c:formatCode>General</c:formatCode>
                <c:ptCount val="3"/>
                <c:pt idx="0">
                  <c:v>567</c:v>
                </c:pt>
                <c:pt idx="1">
                  <c:v>3727</c:v>
                </c:pt>
                <c:pt idx="2">
                  <c:v>7012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3-4A2E-88C7-D64C371E4DD9}"/>
            </c:ext>
          </c:extLst>
        </c:ser>
        <c:ser>
          <c:idx val="1"/>
          <c:order val="1"/>
          <c:tx>
            <c:strRef>
              <c:f>analysis_vehicles_h2production!$C$101</c:f>
              <c:strCache>
                <c:ptCount val="1"/>
                <c:pt idx="0">
                  <c:v>Highway/base refuelling station (5 tpd)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analysis_vehicles_h2production!$A$103:$A$105</c:f>
              <c:strCache>
                <c:ptCount val="3"/>
                <c:pt idx="0">
                  <c:v>Near term (2025-2030)</c:v>
                </c:pt>
                <c:pt idx="1">
                  <c:v>Mid term (2030-2040)</c:v>
                </c:pt>
                <c:pt idx="2">
                  <c:v>Long term (2040-2050)</c:v>
                </c:pt>
              </c:strCache>
            </c:strRef>
          </c:cat>
          <c:val>
            <c:numRef>
              <c:f>analysis_vehicles_h2production!$C$103:$C$105</c:f>
              <c:numCache>
                <c:formatCode>General</c:formatCode>
                <c:ptCount val="3"/>
                <c:pt idx="0">
                  <c:v>91</c:v>
                </c:pt>
                <c:pt idx="1">
                  <c:v>492</c:v>
                </c:pt>
                <c:pt idx="2">
                  <c:v>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3-4A2E-88C7-D64C371E4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23552671"/>
        <c:axId val="1497118239"/>
      </c:barChart>
      <c:catAx>
        <c:axId val="202355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97118239"/>
        <c:crosses val="autoZero"/>
        <c:auto val="1"/>
        <c:lblAlgn val="ctr"/>
        <c:lblOffset val="100"/>
        <c:noMultiLvlLbl val="0"/>
      </c:catAx>
      <c:valAx>
        <c:axId val="14971182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NUMBER OF</a:t>
                </a:r>
                <a:r>
                  <a:rPr lang="en-US" b="1" baseline="0"/>
                  <a:t> STATIONS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2355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63495487721569"/>
          <c:y val="0.16250952534641652"/>
          <c:w val="0.61166179653553387"/>
          <c:h val="5.13996448018987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Vehicle STOCK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45805536684152"/>
          <c:y val="0.12259468123437049"/>
          <c:w val="0.86793185505277182"/>
          <c:h val="0.74002425690886287"/>
        </c:manualLayout>
      </c:layout>
      <c:lineChart>
        <c:grouping val="standard"/>
        <c:varyColors val="0"/>
        <c:ser>
          <c:idx val="1"/>
          <c:order val="0"/>
          <c:tx>
            <c:strRef>
              <c:f>analysis_vehicles_h2production!$C$23</c:f>
              <c:strCache>
                <c:ptCount val="1"/>
                <c:pt idx="0">
                  <c:v>Cars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analysis_vehicles_h2production!$C$24:$C$29</c:f>
              <c:numCache>
                <c:formatCode>0.00</c:formatCode>
                <c:ptCount val="6"/>
                <c:pt idx="0">
                  <c:v>46.563817957883778</c:v>
                </c:pt>
                <c:pt idx="1">
                  <c:v>446.68608831613039</c:v>
                </c:pt>
                <c:pt idx="2">
                  <c:v>1663.9365297298482</c:v>
                </c:pt>
                <c:pt idx="3">
                  <c:v>3644.734428681204</c:v>
                </c:pt>
                <c:pt idx="4">
                  <c:v>5583.1938224108981</c:v>
                </c:pt>
                <c:pt idx="5">
                  <c:v>6849.8741937122149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38-4990-8973-3A414ABB5A0D}"/>
            </c:ext>
          </c:extLst>
        </c:ser>
        <c:ser>
          <c:idx val="2"/>
          <c:order val="1"/>
          <c:tx>
            <c:strRef>
              <c:f>analysis_vehicles_h2production!$D$23</c:f>
              <c:strCache>
                <c:ptCount val="1"/>
                <c:pt idx="0">
                  <c:v>Light trucks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analysis_vehicles_h2production!$D$24:$D$29</c:f>
              <c:numCache>
                <c:formatCode>0.00</c:formatCode>
                <c:ptCount val="6"/>
                <c:pt idx="0">
                  <c:v>26.102308398489772</c:v>
                </c:pt>
                <c:pt idx="1">
                  <c:v>306.43338527026532</c:v>
                </c:pt>
                <c:pt idx="2">
                  <c:v>1217.6992767919812</c:v>
                </c:pt>
                <c:pt idx="3">
                  <c:v>2772.958452790413</c:v>
                </c:pt>
                <c:pt idx="4">
                  <c:v>4415.3734946331324</c:v>
                </c:pt>
                <c:pt idx="5">
                  <c:v>5686.4395113528253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38-4990-8973-3A414ABB5A0D}"/>
            </c:ext>
          </c:extLst>
        </c:ser>
        <c:ser>
          <c:idx val="3"/>
          <c:order val="2"/>
          <c:tx>
            <c:strRef>
              <c:f>analysis_vehicles_h2production!$E$23</c:f>
              <c:strCache>
                <c:ptCount val="1"/>
                <c:pt idx="0">
                  <c:v>Trucks HD long haul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analysis_vehicles_h2production!$E$24:$E$29</c:f>
              <c:numCache>
                <c:formatCode>0.00</c:formatCode>
                <c:ptCount val="6"/>
                <c:pt idx="0">
                  <c:v>0.94700921164339069</c:v>
                </c:pt>
                <c:pt idx="1">
                  <c:v>12.332852561891693</c:v>
                </c:pt>
                <c:pt idx="2">
                  <c:v>41.129307206857625</c:v>
                </c:pt>
                <c:pt idx="3">
                  <c:v>82.715259214225597</c:v>
                </c:pt>
                <c:pt idx="4">
                  <c:v>124.66311470106567</c:v>
                </c:pt>
                <c:pt idx="5">
                  <c:v>157.21658188811244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38-4990-8973-3A414ABB5A0D}"/>
            </c:ext>
          </c:extLst>
        </c:ser>
        <c:ser>
          <c:idx val="4"/>
          <c:order val="3"/>
          <c:tx>
            <c:strRef>
              <c:f>analysis_vehicles_h2production!$F$23</c:f>
              <c:strCache>
                <c:ptCount val="1"/>
                <c:pt idx="0">
                  <c:v>Trucks HD short haul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analysis_vehicles_h2production!$F$24:$F$29</c:f>
              <c:numCache>
                <c:formatCode>0.00</c:formatCode>
                <c:ptCount val="6"/>
                <c:pt idx="0">
                  <c:v>0.25110222732260562</c:v>
                </c:pt>
                <c:pt idx="1">
                  <c:v>2.2119009382208628</c:v>
                </c:pt>
                <c:pt idx="2">
                  <c:v>6.0982043303539228</c:v>
                </c:pt>
                <c:pt idx="3">
                  <c:v>11.153873939965374</c:v>
                </c:pt>
                <c:pt idx="4">
                  <c:v>17.092448098678801</c:v>
                </c:pt>
                <c:pt idx="5">
                  <c:v>22.376159261843124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38-4990-8973-3A414ABB5A0D}"/>
            </c:ext>
          </c:extLst>
        </c:ser>
        <c:ser>
          <c:idx val="5"/>
          <c:order val="4"/>
          <c:tx>
            <c:strRef>
              <c:f>analysis_vehicles_h2production!$G$23</c:f>
              <c:strCache>
                <c:ptCount val="1"/>
                <c:pt idx="0">
                  <c:v>MD delivery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B0F0"/>
              </a:solidFill>
              <a:ln w="9525">
                <a:solidFill>
                  <a:srgbClr val="00B0F0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analysis_vehicles_h2production!$G$24:$G$29</c:f>
              <c:numCache>
                <c:formatCode>0.00</c:formatCode>
                <c:ptCount val="6"/>
                <c:pt idx="0">
                  <c:v>3.1133793165018875E-5</c:v>
                </c:pt>
                <c:pt idx="1">
                  <c:v>8.2352758587743971</c:v>
                </c:pt>
                <c:pt idx="2">
                  <c:v>39.235462530629206</c:v>
                </c:pt>
                <c:pt idx="3">
                  <c:v>97.689472085459656</c:v>
                </c:pt>
                <c:pt idx="4">
                  <c:v>160.7830724968687</c:v>
                </c:pt>
                <c:pt idx="5">
                  <c:v>211.4894257357183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38-4990-8973-3A414ABB5A0D}"/>
            </c:ext>
          </c:extLst>
        </c:ser>
        <c:ser>
          <c:idx val="6"/>
          <c:order val="5"/>
          <c:tx>
            <c:strRef>
              <c:f>analysis_vehicles_h2production!$H$23</c:f>
              <c:strCache>
                <c:ptCount val="1"/>
                <c:pt idx="0">
                  <c:v>Transit Bus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analysis_vehicles_h2production!$H$24:$H$29</c:f>
              <c:numCache>
                <c:formatCode>0.00</c:formatCode>
                <c:ptCount val="6"/>
                <c:pt idx="0">
                  <c:v>1.0158574258716599</c:v>
                </c:pt>
                <c:pt idx="1">
                  <c:v>3.6254850167812713</c:v>
                </c:pt>
                <c:pt idx="2">
                  <c:v>7.743657534578511</c:v>
                </c:pt>
                <c:pt idx="3">
                  <c:v>13.82680213641628</c:v>
                </c:pt>
                <c:pt idx="4">
                  <c:v>19.924525683854501</c:v>
                </c:pt>
                <c:pt idx="5">
                  <c:v>24.170384917497231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38-4990-8973-3A414ABB5A0D}"/>
            </c:ext>
          </c:extLst>
        </c:ser>
        <c:ser>
          <c:idx val="7"/>
          <c:order val="6"/>
          <c:tx>
            <c:strRef>
              <c:f>analysis_vehicles_h2production!$I$23</c:f>
              <c:strCache>
                <c:ptCount val="1"/>
                <c:pt idx="0">
                  <c:v>Other Bus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analysis_vehicles_h2production!$I$24:$I$29</c:f>
              <c:numCache>
                <c:formatCode>0.00</c:formatCode>
                <c:ptCount val="6"/>
                <c:pt idx="0">
                  <c:v>1.6577613289328497E-10</c:v>
                </c:pt>
                <c:pt idx="1">
                  <c:v>0.65247727882170659</c:v>
                </c:pt>
                <c:pt idx="2">
                  <c:v>3.198472817081389</c:v>
                </c:pt>
                <c:pt idx="3">
                  <c:v>7.7369448089989339</c:v>
                </c:pt>
                <c:pt idx="4">
                  <c:v>12.413210356193515</c:v>
                </c:pt>
                <c:pt idx="5">
                  <c:v>16.016127511401876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38-4990-8973-3A414ABB5A0D}"/>
            </c:ext>
          </c:extLst>
        </c:ser>
        <c:ser>
          <c:idx val="8"/>
          <c:order val="7"/>
          <c:tx>
            <c:strRef>
              <c:f>analysis_vehicles_h2production!$J$23</c:f>
              <c:strCache>
                <c:ptCount val="1"/>
                <c:pt idx="0">
                  <c:v>HD vocational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analysis_vehicles_h2production!$J$24:$J$29</c:f>
              <c:numCache>
                <c:formatCode>0.00</c:formatCode>
                <c:ptCount val="6"/>
                <c:pt idx="0">
                  <c:v>1.2808614320135647E-15</c:v>
                </c:pt>
                <c:pt idx="1">
                  <c:v>2.284948995943028</c:v>
                </c:pt>
                <c:pt idx="2">
                  <c:v>10.438975982892636</c:v>
                </c:pt>
                <c:pt idx="3">
                  <c:v>24.992014183461912</c:v>
                </c:pt>
                <c:pt idx="4">
                  <c:v>39.694643346742716</c:v>
                </c:pt>
                <c:pt idx="5">
                  <c:v>50.074518332508291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938-4990-8973-3A414ABB5A0D}"/>
            </c:ext>
          </c:extLst>
        </c:ser>
        <c:ser>
          <c:idx val="9"/>
          <c:order val="8"/>
          <c:tx>
            <c:strRef>
              <c:f>analysis_vehicles_h2production!$K$23</c:f>
              <c:strCache>
                <c:ptCount val="1"/>
                <c:pt idx="0">
                  <c:v>MD vocational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analysis_vehicles_h2production!$K$24:$K$29</c:f>
              <c:numCache>
                <c:formatCode>0.00</c:formatCode>
                <c:ptCount val="6"/>
                <c:pt idx="0">
                  <c:v>2.3403279219432458E-7</c:v>
                </c:pt>
                <c:pt idx="1">
                  <c:v>0.69786767816326623</c:v>
                </c:pt>
                <c:pt idx="2">
                  <c:v>3.9575463892641221</c:v>
                </c:pt>
                <c:pt idx="3">
                  <c:v>9.0036423088785398</c:v>
                </c:pt>
                <c:pt idx="4">
                  <c:v>13.569382487136554</c:v>
                </c:pt>
                <c:pt idx="5">
                  <c:v>16.848928196115981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938-4990-8973-3A414ABB5A0D}"/>
            </c:ext>
          </c:extLst>
        </c:ser>
        <c:ser>
          <c:idx val="10"/>
          <c:order val="9"/>
          <c:tx>
            <c:strRef>
              <c:f>analysis_vehicles_h2production!$L$23</c:f>
              <c:strCache>
                <c:ptCount val="1"/>
                <c:pt idx="0">
                  <c:v>Trucks HD pickup</c:v>
                </c:pt>
              </c:strCache>
            </c:strRef>
          </c:tx>
          <c:spPr>
            <a:ln w="2222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analysis_vehicles_h2production!$B$24:$B$29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cat>
          <c:val>
            <c:numRef>
              <c:f>analysis_vehicles_h2production!$L$24:$L$29</c:f>
              <c:numCache>
                <c:formatCode>0.00</c:formatCode>
                <c:ptCount val="6"/>
                <c:pt idx="0">
                  <c:v>0</c:v>
                </c:pt>
                <c:pt idx="1">
                  <c:v>35.261875086749122</c:v>
                </c:pt>
                <c:pt idx="2">
                  <c:v>150.60333390745214</c:v>
                </c:pt>
                <c:pt idx="3">
                  <c:v>312.99771640098771</c:v>
                </c:pt>
                <c:pt idx="4">
                  <c:v>458.15904883771361</c:v>
                </c:pt>
                <c:pt idx="5">
                  <c:v>564.36316577828097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938-4990-8973-3A414ABB5A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83234655"/>
        <c:axId val="1892546079"/>
      </c:lineChart>
      <c:catAx>
        <c:axId val="18832346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46079"/>
        <c:crosses val="autoZero"/>
        <c:auto val="0"/>
        <c:lblAlgn val="ctr"/>
        <c:lblOffset val="100"/>
        <c:noMultiLvlLbl val="0"/>
      </c:catAx>
      <c:valAx>
        <c:axId val="1892546079"/>
        <c:scaling>
          <c:orientation val="minMax"/>
          <c:max val="7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VeHICLE Stock  (Thousands)</a:t>
                </a:r>
              </a:p>
            </c:rich>
          </c:tx>
          <c:layout>
            <c:manualLayout>
              <c:xMode val="edge"/>
              <c:yMode val="edge"/>
              <c:x val="2.5013733748397729E-2"/>
              <c:y val="0.28747595359010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3234655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440762973935188"/>
          <c:y val="0.11657937459169873"/>
          <c:w val="0.72286058229166705"/>
          <c:h val="0.16651193588684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39686583501469E-2"/>
          <c:y val="7.3768511330449885E-2"/>
          <c:w val="0.88602326748836602"/>
          <c:h val="0.78885068943846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analysis_vehicles_h2production!$C$45</c:f>
              <c:strCache>
                <c:ptCount val="1"/>
                <c:pt idx="0">
                  <c:v>Cars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analysis_vehicles_h2production!$C$46:$C$49</c:f>
              <c:numCache>
                <c:formatCode>0.00</c:formatCode>
                <c:ptCount val="4"/>
                <c:pt idx="0">
                  <c:v>64.849459827911915</c:v>
                </c:pt>
                <c:pt idx="1">
                  <c:v>68.82478819134846</c:v>
                </c:pt>
                <c:pt idx="2">
                  <c:v>71.757620606239783</c:v>
                </c:pt>
                <c:pt idx="3">
                  <c:v>74.029403480274226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7-4627-BECF-BFDB58367B1D}"/>
            </c:ext>
          </c:extLst>
        </c:ser>
        <c:ser>
          <c:idx val="1"/>
          <c:order val="1"/>
          <c:tx>
            <c:strRef>
              <c:f>analysis_vehicles_h2production!$D$45</c:f>
              <c:strCache>
                <c:ptCount val="1"/>
                <c:pt idx="0">
                  <c:v>Light trucks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analysis_vehicles_h2production!$D$46:$D$49</c:f>
              <c:numCache>
                <c:formatCode>0.00</c:formatCode>
                <c:ptCount val="4"/>
                <c:pt idx="0">
                  <c:v>46.22</c:v>
                </c:pt>
                <c:pt idx="1">
                  <c:v>47.408657879814101</c:v>
                </c:pt>
                <c:pt idx="2">
                  <c:v>48.695282883288336</c:v>
                </c:pt>
                <c:pt idx="3">
                  <c:v>49.536201773324116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D7-4627-BECF-BFDB58367B1D}"/>
            </c:ext>
          </c:extLst>
        </c:ser>
        <c:ser>
          <c:idx val="2"/>
          <c:order val="2"/>
          <c:tx>
            <c:strRef>
              <c:f>analysis_vehicles_h2production!$E$45</c:f>
              <c:strCache>
                <c:ptCount val="1"/>
                <c:pt idx="0">
                  <c:v>Trucks HD long haul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analysis_vehicles_h2production!$E$46:$E$49</c:f>
              <c:numCache>
                <c:formatCode>0.00</c:formatCode>
                <c:ptCount val="4"/>
                <c:pt idx="0">
                  <c:v>6.8174983154473452</c:v>
                </c:pt>
                <c:pt idx="1">
                  <c:v>8.2246478467199005</c:v>
                </c:pt>
                <c:pt idx="2">
                  <c:v>8.9810105500900672</c:v>
                </c:pt>
                <c:pt idx="3">
                  <c:v>9.3985970245972883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D7-4627-BECF-BFDB58367B1D}"/>
            </c:ext>
          </c:extLst>
        </c:ser>
        <c:ser>
          <c:idx val="3"/>
          <c:order val="3"/>
          <c:tx>
            <c:strRef>
              <c:f>analysis_vehicles_h2production!$F$45</c:f>
              <c:strCache>
                <c:ptCount val="1"/>
                <c:pt idx="0">
                  <c:v>Trucks HD short haul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analysis_vehicles_h2production!$F$46:$F$49</c:f>
              <c:numCache>
                <c:formatCode>0.00</c:formatCode>
                <c:ptCount val="4"/>
                <c:pt idx="0">
                  <c:v>10.553101419269508</c:v>
                </c:pt>
                <c:pt idx="1">
                  <c:v>12.29836982279908</c:v>
                </c:pt>
                <c:pt idx="2">
                  <c:v>13.216499517853721</c:v>
                </c:pt>
                <c:pt idx="3">
                  <c:v>13.609964896873075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D7-4627-BECF-BFDB58367B1D}"/>
            </c:ext>
          </c:extLst>
        </c:ser>
        <c:ser>
          <c:idx val="4"/>
          <c:order val="4"/>
          <c:tx>
            <c:strRef>
              <c:f>analysis_vehicles_h2production!$G$45</c:f>
              <c:strCache>
                <c:ptCount val="1"/>
                <c:pt idx="0">
                  <c:v>MD delivery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analysis_vehicles_h2production!$G$46:$G$49</c:f>
              <c:numCache>
                <c:formatCode>0.00</c:formatCode>
                <c:ptCount val="4"/>
                <c:pt idx="0">
                  <c:v>14.791464212174969</c:v>
                </c:pt>
                <c:pt idx="1">
                  <c:v>15.389557869218947</c:v>
                </c:pt>
                <c:pt idx="2">
                  <c:v>18.13247653121072</c:v>
                </c:pt>
                <c:pt idx="3">
                  <c:v>18.59742162365816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D7-4627-BECF-BFDB58367B1D}"/>
            </c:ext>
          </c:extLst>
        </c:ser>
        <c:ser>
          <c:idx val="5"/>
          <c:order val="5"/>
          <c:tx>
            <c:strRef>
              <c:f>analysis_vehicles_h2production!$H$45</c:f>
              <c:strCache>
                <c:ptCount val="1"/>
                <c:pt idx="0">
                  <c:v>Transit Bus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analysis_vehicles_h2production!$H$46:$H$49</c:f>
              <c:numCache>
                <c:formatCode>0.00</c:formatCode>
                <c:ptCount val="4"/>
                <c:pt idx="0">
                  <c:v>8.9562809836940218</c:v>
                </c:pt>
                <c:pt idx="1">
                  <c:v>10.141771907853999</c:v>
                </c:pt>
                <c:pt idx="2">
                  <c:v>10.711922615102159</c:v>
                </c:pt>
                <c:pt idx="3">
                  <c:v>11.035278748962256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D7-4627-BECF-BFDB58367B1D}"/>
            </c:ext>
          </c:extLst>
        </c:ser>
        <c:ser>
          <c:idx val="6"/>
          <c:order val="6"/>
          <c:tx>
            <c:strRef>
              <c:f>analysis_vehicles_h2production!$I$45</c:f>
              <c:strCache>
                <c:ptCount val="1"/>
                <c:pt idx="0">
                  <c:v>Other Bus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analysis_vehicles_h2production!$I$46:$I$49</c:f>
              <c:numCache>
                <c:formatCode>0.00</c:formatCode>
                <c:ptCount val="4"/>
                <c:pt idx="0">
                  <c:v>14.122753619685145</c:v>
                </c:pt>
                <c:pt idx="1">
                  <c:v>16.187579607998142</c:v>
                </c:pt>
                <c:pt idx="2">
                  <c:v>17.053343310292689</c:v>
                </c:pt>
                <c:pt idx="3">
                  <c:v>17.652049014850586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D7-4627-BECF-BFDB58367B1D}"/>
            </c:ext>
          </c:extLst>
        </c:ser>
        <c:ser>
          <c:idx val="7"/>
          <c:order val="7"/>
          <c:tx>
            <c:strRef>
              <c:f>analysis_vehicles_h2production!$J$45</c:f>
              <c:strCache>
                <c:ptCount val="1"/>
                <c:pt idx="0">
                  <c:v>HD vocational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analysis_vehicles_h2production!$J$46:$J$49</c:f>
              <c:numCache>
                <c:formatCode>0.00</c:formatCode>
                <c:ptCount val="4"/>
                <c:pt idx="0">
                  <c:v>8.4543334439855986</c:v>
                </c:pt>
                <c:pt idx="1">
                  <c:v>9.7764926619548618</c:v>
                </c:pt>
                <c:pt idx="2">
                  <c:v>10.400470012771267</c:v>
                </c:pt>
                <c:pt idx="3">
                  <c:v>10.716309339916286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D7-4627-BECF-BFDB58367B1D}"/>
            </c:ext>
          </c:extLst>
        </c:ser>
        <c:ser>
          <c:idx val="8"/>
          <c:order val="8"/>
          <c:tx>
            <c:strRef>
              <c:f>analysis_vehicles_h2production!$K$45</c:f>
              <c:strCache>
                <c:ptCount val="1"/>
                <c:pt idx="0">
                  <c:v>MD vocational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analysis_vehicles_h2production!$K$46:$K$49</c:f>
              <c:numCache>
                <c:formatCode>#,##0</c:formatCode>
                <c:ptCount val="4"/>
                <c:pt idx="0" formatCode="0.00">
                  <c:v>15.537210082798333</c:v>
                </c:pt>
                <c:pt idx="1">
                  <c:v>18.264441639723241</c:v>
                </c:pt>
                <c:pt idx="2">
                  <c:v>19.485368064746247</c:v>
                </c:pt>
                <c:pt idx="3">
                  <c:v>20.295733493285994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BD7-4627-BECF-BFDB58367B1D}"/>
            </c:ext>
          </c:extLst>
        </c:ser>
        <c:ser>
          <c:idx val="9"/>
          <c:order val="9"/>
          <c:tx>
            <c:strRef>
              <c:f>analysis_vehicles_h2production!$L$45</c:f>
              <c:strCache>
                <c:ptCount val="1"/>
                <c:pt idx="0">
                  <c:v>Trucks HD pickup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analysis_vehicles_h2production!$B$46:$B$49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analysis_vehicles_h2production!$L$46:$L$49</c:f>
              <c:numCache>
                <c:formatCode>#,##0</c:formatCode>
                <c:ptCount val="4"/>
                <c:pt idx="0" formatCode="0.00">
                  <c:v>38.72</c:v>
                </c:pt>
                <c:pt idx="1">
                  <c:v>42.076457931533099</c:v>
                </c:pt>
                <c:pt idx="2">
                  <c:v>47.124072044178931</c:v>
                </c:pt>
                <c:pt idx="3">
                  <c:v>49.637884826158995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D7-4627-BECF-BFDB58367B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83234655"/>
        <c:axId val="1892546079"/>
      </c:scatterChart>
      <c:valAx>
        <c:axId val="1883234655"/>
        <c:scaling>
          <c:orientation val="minMax"/>
          <c:max val="2035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46079"/>
        <c:crosses val="autoZero"/>
        <c:crossBetween val="midCat"/>
        <c:majorUnit val="5"/>
      </c:valAx>
      <c:valAx>
        <c:axId val="1892546079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Average on-road fuel economy     (miles per KG)</a:t>
                </a:r>
              </a:p>
            </c:rich>
          </c:tx>
          <c:layout>
            <c:manualLayout>
              <c:xMode val="edge"/>
              <c:yMode val="edge"/>
              <c:x val="5.7627404513211269E-3"/>
              <c:y val="9.96825255997929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323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376836558344505"/>
          <c:y val="0.19324298547188648"/>
          <c:w val="0.78704954640534575"/>
          <c:h val="0.17313075302206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VMT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39686583501469E-2"/>
          <c:y val="7.3768511330449885E-2"/>
          <c:w val="0.88602326748836602"/>
          <c:h val="0.78885068943846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analysis_vehicles_h2production!$C$55</c:f>
              <c:strCache>
                <c:ptCount val="1"/>
                <c:pt idx="0">
                  <c:v>Cars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analysis_vehicles_h2production!$C$56:$C$59</c:f>
              <c:numCache>
                <c:formatCode>0.00</c:formatCode>
                <c:ptCount val="4"/>
                <c:pt idx="0">
                  <c:v>14272.196081272346</c:v>
                </c:pt>
                <c:pt idx="1">
                  <c:v>17052.487349072417</c:v>
                </c:pt>
                <c:pt idx="2">
                  <c:v>15489.335038455587</c:v>
                </c:pt>
                <c:pt idx="3">
                  <c:v>15050.933546612501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9-4E6F-98DB-15B96BBEBC09}"/>
            </c:ext>
          </c:extLst>
        </c:ser>
        <c:ser>
          <c:idx val="1"/>
          <c:order val="1"/>
          <c:tx>
            <c:strRef>
              <c:f>analysis_vehicles_h2production!$D$55</c:f>
              <c:strCache>
                <c:ptCount val="1"/>
                <c:pt idx="0">
                  <c:v>Light trucks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analysis_vehicles_h2production!$D$56:$D$59</c:f>
              <c:numCache>
                <c:formatCode>0.00</c:formatCode>
                <c:ptCount val="4"/>
                <c:pt idx="0">
                  <c:v>0</c:v>
                </c:pt>
                <c:pt idx="1">
                  <c:v>18270.494951311262</c:v>
                </c:pt>
                <c:pt idx="2">
                  <c:v>17080.212656753996</c:v>
                </c:pt>
                <c:pt idx="3">
                  <c:v>15929.10216613927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D9-4E6F-98DB-15B96BBEBC09}"/>
            </c:ext>
          </c:extLst>
        </c:ser>
        <c:ser>
          <c:idx val="2"/>
          <c:order val="2"/>
          <c:tx>
            <c:strRef>
              <c:f>analysis_vehicles_h2production!$E$55</c:f>
              <c:strCache>
                <c:ptCount val="1"/>
                <c:pt idx="0">
                  <c:v>Trucks HD long haul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analysis_vehicles_h2production!$E$56:$E$59</c:f>
              <c:numCache>
                <c:formatCode>0.00</c:formatCode>
                <c:ptCount val="4"/>
                <c:pt idx="0">
                  <c:v>0</c:v>
                </c:pt>
                <c:pt idx="1">
                  <c:v>80420.568869617535</c:v>
                </c:pt>
                <c:pt idx="2">
                  <c:v>77290.566399664938</c:v>
                </c:pt>
                <c:pt idx="3">
                  <c:v>72388.482378209737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D9-4E6F-98DB-15B96BBEBC09}"/>
            </c:ext>
          </c:extLst>
        </c:ser>
        <c:ser>
          <c:idx val="3"/>
          <c:order val="3"/>
          <c:tx>
            <c:strRef>
              <c:f>analysis_vehicles_h2production!$F$55</c:f>
              <c:strCache>
                <c:ptCount val="1"/>
                <c:pt idx="0">
                  <c:v>Trucks HD short haul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analysis_vehicles_h2production!$F$56:$F$59</c:f>
              <c:numCache>
                <c:formatCode>0.00</c:formatCode>
                <c:ptCount val="4"/>
                <c:pt idx="0">
                  <c:v>0</c:v>
                </c:pt>
                <c:pt idx="1">
                  <c:v>45055.3912801228</c:v>
                </c:pt>
                <c:pt idx="2">
                  <c:v>44986.454149997189</c:v>
                </c:pt>
                <c:pt idx="3">
                  <c:v>44727.484631044499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D9-4E6F-98DB-15B96BBEBC09}"/>
            </c:ext>
          </c:extLst>
        </c:ser>
        <c:ser>
          <c:idx val="4"/>
          <c:order val="4"/>
          <c:tx>
            <c:strRef>
              <c:f>analysis_vehicles_h2production!$G$55</c:f>
              <c:strCache>
                <c:ptCount val="1"/>
                <c:pt idx="0">
                  <c:v>MD delivery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analysis_vehicles_h2production!$G$56:$G$59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24900.898061202955</c:v>
                </c:pt>
                <c:pt idx="3">
                  <c:v>23281.40148657329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D9-4E6F-98DB-15B96BBEBC09}"/>
            </c:ext>
          </c:extLst>
        </c:ser>
        <c:ser>
          <c:idx val="5"/>
          <c:order val="5"/>
          <c:tx>
            <c:strRef>
              <c:f>analysis_vehicles_h2production!$H$55</c:f>
              <c:strCache>
                <c:ptCount val="1"/>
                <c:pt idx="0">
                  <c:v>Transit Bus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analysis_vehicles_h2production!$H$56:$H$59</c:f>
              <c:numCache>
                <c:formatCode>0.00</c:formatCode>
                <c:ptCount val="4"/>
                <c:pt idx="0">
                  <c:v>20313.504680080336</c:v>
                </c:pt>
                <c:pt idx="1">
                  <c:v>20315.122403303187</c:v>
                </c:pt>
                <c:pt idx="2">
                  <c:v>20715.330825854697</c:v>
                </c:pt>
                <c:pt idx="3">
                  <c:v>20980.542995198182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D9-4E6F-98DB-15B96BBEBC09}"/>
            </c:ext>
          </c:extLst>
        </c:ser>
        <c:ser>
          <c:idx val="6"/>
          <c:order val="6"/>
          <c:tx>
            <c:strRef>
              <c:f>analysis_vehicles_h2production!$I$55</c:f>
              <c:strCache>
                <c:ptCount val="1"/>
                <c:pt idx="0">
                  <c:v>Other Bus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analysis_vehicles_h2production!$I$56:$I$59</c:f>
              <c:numCache>
                <c:formatCode>0.00</c:formatCode>
                <c:ptCount val="4"/>
                <c:pt idx="0">
                  <c:v>23717.35057072981</c:v>
                </c:pt>
                <c:pt idx="1">
                  <c:v>23731.447341706084</c:v>
                </c:pt>
                <c:pt idx="2">
                  <c:v>22967.553149101503</c:v>
                </c:pt>
                <c:pt idx="3">
                  <c:v>22197.59137867458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7D9-4E6F-98DB-15B96BBEBC09}"/>
            </c:ext>
          </c:extLst>
        </c:ser>
        <c:ser>
          <c:idx val="7"/>
          <c:order val="7"/>
          <c:tx>
            <c:strRef>
              <c:f>analysis_vehicles_h2production!$J$55</c:f>
              <c:strCache>
                <c:ptCount val="1"/>
                <c:pt idx="0">
                  <c:v>HD vocational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analysis_vehicles_h2production!$J$56:$J$59</c:f>
              <c:numCache>
                <c:formatCode>0.00</c:formatCode>
                <c:ptCount val="4"/>
                <c:pt idx="0">
                  <c:v>0</c:v>
                </c:pt>
                <c:pt idx="1">
                  <c:v>17519.71059571845</c:v>
                </c:pt>
                <c:pt idx="2">
                  <c:v>17255.797008951417</c:v>
                </c:pt>
                <c:pt idx="3">
                  <c:v>16810.46288405891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7D9-4E6F-98DB-15B96BBEBC09}"/>
            </c:ext>
          </c:extLst>
        </c:ser>
        <c:ser>
          <c:idx val="8"/>
          <c:order val="8"/>
          <c:tx>
            <c:strRef>
              <c:f>analysis_vehicles_h2production!$K$55</c:f>
              <c:strCache>
                <c:ptCount val="1"/>
                <c:pt idx="0">
                  <c:v>MD vocational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analysis_vehicles_h2production!$K$56:$K$59</c:f>
              <c:numCache>
                <c:formatCode>#,##0</c:formatCode>
                <c:ptCount val="4"/>
                <c:pt idx="0">
                  <c:v>0</c:v>
                </c:pt>
                <c:pt idx="1">
                  <c:v>5828.3562854255388</c:v>
                </c:pt>
                <c:pt idx="2">
                  <c:v>5676.4937951495031</c:v>
                </c:pt>
                <c:pt idx="3">
                  <c:v>5572.0883623068303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7D9-4E6F-98DB-15B96BBEBC09}"/>
            </c:ext>
          </c:extLst>
        </c:ser>
        <c:ser>
          <c:idx val="9"/>
          <c:order val="9"/>
          <c:tx>
            <c:strRef>
              <c:f>analysis_vehicles_h2production!$L$55</c:f>
              <c:strCache>
                <c:ptCount val="1"/>
                <c:pt idx="0">
                  <c:v>Trucks HD pickup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analysis_vehicles_h2production!$B$56:$B$59</c:f>
              <c:numCache>
                <c:formatCode>General</c:formatCode>
                <c:ptCount val="4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analysis_vehicles_h2production!$L$56:$L$59</c:f>
              <c:numCache>
                <c:formatCode>#,##0</c:formatCode>
                <c:ptCount val="4"/>
                <c:pt idx="0">
                  <c:v>0</c:v>
                </c:pt>
                <c:pt idx="1">
                  <c:v>15865.312602643071</c:v>
                </c:pt>
                <c:pt idx="2">
                  <c:v>15273.296818911238</c:v>
                </c:pt>
                <c:pt idx="3">
                  <c:v>13970.337836235572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7D9-4E6F-98DB-15B96BBEBC0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83234655"/>
        <c:axId val="1892546079"/>
      </c:scatterChart>
      <c:valAx>
        <c:axId val="1883234655"/>
        <c:scaling>
          <c:orientation val="minMax"/>
          <c:max val="2035"/>
          <c:min val="20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46079"/>
        <c:crosses val="autoZero"/>
        <c:crossBetween val="midCat"/>
        <c:majorUnit val="5"/>
      </c:valAx>
      <c:valAx>
        <c:axId val="1892546079"/>
        <c:scaling>
          <c:orientation val="minMax"/>
          <c:max val="9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Annual travel per vehicle (miles)</a:t>
                </a:r>
              </a:p>
            </c:rich>
          </c:tx>
          <c:layout>
            <c:manualLayout>
              <c:xMode val="edge"/>
              <c:yMode val="edge"/>
              <c:x val="5.7627404513211269E-3"/>
              <c:y val="9.96825255997929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323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01500927930274"/>
          <c:y val="3.1740638054046047E-2"/>
          <c:w val="0.78704954640534575"/>
          <c:h val="0.17313075302206943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60844966831638"/>
          <c:y val="0.13907072144354152"/>
          <c:w val="0.79098198618505711"/>
          <c:h val="0.626486936728102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analysis_vehicles_h2production!$AD$89</c:f>
              <c:strCache>
                <c:ptCount val="1"/>
                <c:pt idx="0">
                  <c:v>Hydrogen Production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2.8543115555979291E-2"/>
                  <c:y val="-7.543196567839486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F6-4764-842A-9F68639B39D3}"/>
                </c:ext>
              </c:extLst>
            </c:dLbl>
            <c:dLbl>
              <c:idx val="2"/>
              <c:layout>
                <c:manualLayout>
                  <c:x val="-2.1407336666984522E-2"/>
                  <c:y val="-4.11451838590367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F6-4764-842A-9F68639B39D3}"/>
                </c:ext>
              </c:extLst>
            </c:dLbl>
            <c:dLbl>
              <c:idx val="3"/>
              <c:layout>
                <c:manualLayout>
                  <c:x val="-2.1407336666984435E-2"/>
                  <c:y val="-7.543196567839486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F6-4764-842A-9F68639B39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analysis_vehicles_h2production!$AE$88:$AH$88</c:f>
              <c:strCache>
                <c:ptCount val="4"/>
                <c:pt idx="0">
                  <c:v>Near term (2025-2030)</c:v>
                </c:pt>
                <c:pt idx="1">
                  <c:v>Mid term (2030-2040)</c:v>
                </c:pt>
                <c:pt idx="2">
                  <c:v>Long term (2040-2050)</c:v>
                </c:pt>
                <c:pt idx="3">
                  <c:v>Cumulative
(25 years)</c:v>
                </c:pt>
              </c:strCache>
            </c:strRef>
          </c:cat>
          <c:val>
            <c:numRef>
              <c:f>analysis_vehicles_h2production!$AE$89:$AH$89</c:f>
              <c:numCache>
                <c:formatCode>"$"#,##0_);\("$"#,##0\)</c:formatCode>
                <c:ptCount val="4"/>
                <c:pt idx="0">
                  <c:v>1542.22973241811</c:v>
                </c:pt>
                <c:pt idx="1">
                  <c:v>9967.6442375874758</c:v>
                </c:pt>
                <c:pt idx="2">
                  <c:v>6790.0550798407057</c:v>
                </c:pt>
                <c:pt idx="3">
                  <c:v>18299.929049846291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F6-4764-842A-9F68639B39D3}"/>
            </c:ext>
          </c:extLst>
        </c:ser>
        <c:ser>
          <c:idx val="1"/>
          <c:order val="1"/>
          <c:tx>
            <c:strRef>
              <c:f>analysis_vehicles_h2production!$AD$90</c:f>
              <c:strCache>
                <c:ptCount val="1"/>
                <c:pt idx="0">
                  <c:v>Hydrogen Refuelling Station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0436080370970601E-2"/>
                  <c:y val="-4.11451838590367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9F6-4764-842A-9F68639B39D3}"/>
                </c:ext>
              </c:extLst>
            </c:dLbl>
            <c:dLbl>
              <c:idx val="1"/>
              <c:layout>
                <c:manualLayout>
                  <c:x val="3.09217085189775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F6-4764-842A-9F68639B39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analysis_vehicles_h2production!$AE$88:$AH$88</c:f>
              <c:strCache>
                <c:ptCount val="4"/>
                <c:pt idx="0">
                  <c:v>Near term (2025-2030)</c:v>
                </c:pt>
                <c:pt idx="1">
                  <c:v>Mid term (2030-2040)</c:v>
                </c:pt>
                <c:pt idx="2">
                  <c:v>Long term (2040-2050)</c:v>
                </c:pt>
                <c:pt idx="3">
                  <c:v>Cumulative
(25 years)</c:v>
                </c:pt>
              </c:strCache>
            </c:strRef>
          </c:cat>
          <c:val>
            <c:numRef>
              <c:f>analysis_vehicles_h2production!$AE$90:$AH$90</c:f>
              <c:numCache>
                <c:formatCode>"$"#,##0_);\("$"#,##0\)</c:formatCode>
                <c:ptCount val="4"/>
                <c:pt idx="0">
                  <c:v>3643.4640296654602</c:v>
                </c:pt>
                <c:pt idx="1">
                  <c:v>12528.790822194271</c:v>
                </c:pt>
                <c:pt idx="2">
                  <c:v>20033.657210437865</c:v>
                </c:pt>
                <c:pt idx="3">
                  <c:v>36205.912062297597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F6-4764-842A-9F68639B3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5859216"/>
        <c:axId val="305829952"/>
      </c:barChart>
      <c:catAx>
        <c:axId val="41585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5829952"/>
        <c:crosses val="autoZero"/>
        <c:auto val="1"/>
        <c:lblAlgn val="ctr"/>
        <c:lblOffset val="100"/>
        <c:noMultiLvlLbl val="0"/>
      </c:catAx>
      <c:valAx>
        <c:axId val="30582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Total Capital Investment($ million)</a:t>
                </a:r>
              </a:p>
            </c:rich>
          </c:tx>
          <c:layout>
            <c:manualLayout>
              <c:xMode val="edge"/>
              <c:yMode val="edge"/>
              <c:x val="1.620065285821657E-2"/>
              <c:y val="6.500939049727680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158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21105704858568"/>
          <c:y val="9.9067883397788728E-2"/>
          <c:w val="0.77050698304325438"/>
          <c:h val="6.9799402649685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ysClr val="windowText" lastClr="000000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91712781599971"/>
          <c:y val="0.17224709042076997"/>
          <c:w val="0.80199776203689233"/>
          <c:h val="0.67623400700695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'analysis_hydrogen costs'!$B$68</c:f>
              <c:strCache>
                <c:ptCount val="1"/>
                <c:pt idx="0">
                  <c:v>Electricity demand(Gwh/year)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'analysis_hydrogen costs'!$A$70:$A$72</c:f>
              <c:strCache>
                <c:ptCount val="3"/>
                <c:pt idx="0">
                  <c:v>Near term (2025-2030)</c:v>
                </c:pt>
                <c:pt idx="1">
                  <c:v>Mid term (2030-2040)</c:v>
                </c:pt>
                <c:pt idx="2">
                  <c:v>Long term     (2040-2050)</c:v>
                </c:pt>
              </c:strCache>
            </c:strRef>
          </c:cat>
          <c:val>
            <c:numRef>
              <c:f>'analysis_hydrogen costs'!$B$70:$B$72</c:f>
              <c:numCache>
                <c:formatCode>0</c:formatCode>
                <c:ptCount val="3"/>
                <c:pt idx="0">
                  <c:v>3183.3916795473388</c:v>
                </c:pt>
                <c:pt idx="1">
                  <c:v>14086.332870463022</c:v>
                </c:pt>
                <c:pt idx="2">
                  <c:v>39075.217350655177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2-4F6A-A2CB-2394094B5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739215"/>
        <c:axId val="330669599"/>
      </c:barChart>
      <c:catAx>
        <c:axId val="33173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0669599"/>
        <c:crosses val="autoZero"/>
        <c:auto val="1"/>
        <c:lblAlgn val="ctr"/>
        <c:lblOffset val="100"/>
        <c:noMultiLvlLbl val="0"/>
      </c:catAx>
      <c:valAx>
        <c:axId val="3306695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/>
                  <a:t>Gwh/year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173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Breakup : Cost of Hydrogen for light duty vehicle refuelling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8169984106555E-2"/>
          <c:y val="0.15006237006237008"/>
          <c:w val="0.87706972390986615"/>
          <c:h val="0.666832999794265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'analysis_hydrogen costs'!$AE$4</c:f>
              <c:strCache>
                <c:ptCount val="1"/>
                <c:pt idx="0">
                  <c:v> Capital costs($/kg)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'analysis_hydrogen costs'!$AC$5:$AD$22</c:f>
              <c:multiLvlStrCache>
                <c:ptCount val="18"/>
                <c:lvl>
                  <c:pt idx="0">
                    <c:v>STG</c:v>
                  </c:pt>
                  <c:pt idx="1">
                    <c:v>SLG</c:v>
                  </c:pt>
                  <c:pt idx="2">
                    <c:v>SPG</c:v>
                  </c:pt>
                  <c:pt idx="3">
                    <c:v>ETG</c:v>
                  </c:pt>
                  <c:pt idx="4">
                    <c:v>ELG</c:v>
                  </c:pt>
                  <c:pt idx="5">
                    <c:v>EPG</c:v>
                  </c:pt>
                  <c:pt idx="6">
                    <c:v>STG</c:v>
                  </c:pt>
                  <c:pt idx="7">
                    <c:v>SLG</c:v>
                  </c:pt>
                  <c:pt idx="8">
                    <c:v>SPG</c:v>
                  </c:pt>
                  <c:pt idx="9">
                    <c:v>ETG</c:v>
                  </c:pt>
                  <c:pt idx="10">
                    <c:v>ELG</c:v>
                  </c:pt>
                  <c:pt idx="11">
                    <c:v>EPG</c:v>
                  </c:pt>
                  <c:pt idx="12">
                    <c:v>STG</c:v>
                  </c:pt>
                  <c:pt idx="13">
                    <c:v>SLG</c:v>
                  </c:pt>
                  <c:pt idx="14">
                    <c:v>SPG</c:v>
                  </c:pt>
                  <c:pt idx="15">
                    <c:v>ETG</c:v>
                  </c:pt>
                  <c:pt idx="16">
                    <c:v>ELG</c:v>
                  </c:pt>
                  <c:pt idx="17">
                    <c:v>EPG</c:v>
                  </c:pt>
                </c:lvl>
                <c:lvl>
                  <c:pt idx="0">
                    <c:v>Near term (2025-2030)</c:v>
                  </c:pt>
                  <c:pt idx="6">
                    <c:v>Mid term (2030-2040)</c:v>
                  </c:pt>
                  <c:pt idx="12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costs'!$AE$5:$AE$22</c:f>
              <c:numCache>
                <c:formatCode>_("$"* #,##0.00_);_("$"* \(#,##0.00\);_("$"* "-"??_);_(@_)</c:formatCode>
                <c:ptCount val="18"/>
                <c:pt idx="0">
                  <c:v>5.84</c:v>
                </c:pt>
                <c:pt idx="1">
                  <c:v>6.2604930593436432</c:v>
                </c:pt>
                <c:pt idx="2">
                  <c:v>5.4553588278161467</c:v>
                </c:pt>
                <c:pt idx="3">
                  <c:v>3.8284628362962652</c:v>
                </c:pt>
                <c:pt idx="4">
                  <c:v>4.2489558956399085</c:v>
                </c:pt>
                <c:pt idx="5">
                  <c:v>3.4438216641124115</c:v>
                </c:pt>
                <c:pt idx="6">
                  <c:v>4.57</c:v>
                </c:pt>
                <c:pt idx="7">
                  <c:v>5.2421342107791826</c:v>
                </c:pt>
                <c:pt idx="8">
                  <c:v>4.49</c:v>
                </c:pt>
                <c:pt idx="9">
                  <c:v>2.37</c:v>
                </c:pt>
                <c:pt idx="10">
                  <c:v>3.0421342107791824</c:v>
                </c:pt>
                <c:pt idx="11">
                  <c:v>2.29</c:v>
                </c:pt>
                <c:pt idx="12">
                  <c:v>4.37</c:v>
                </c:pt>
                <c:pt idx="13">
                  <c:v>5.0840771954158051</c:v>
                </c:pt>
                <c:pt idx="14">
                  <c:v>4.33</c:v>
                </c:pt>
                <c:pt idx="15">
                  <c:v>1.75</c:v>
                </c:pt>
                <c:pt idx="16">
                  <c:v>2.4640771954158049</c:v>
                </c:pt>
                <c:pt idx="17">
                  <c:v>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B-4957-8161-DBC951BCE866}"/>
            </c:ext>
          </c:extLst>
        </c:ser>
        <c:ser>
          <c:idx val="1"/>
          <c:order val="1"/>
          <c:tx>
            <c:strRef>
              <c:f>'analysis_hydrogen costs'!$AF$4</c:f>
              <c:strCache>
                <c:ptCount val="1"/>
                <c:pt idx="0">
                  <c:v> O&amp;M costs($/kg)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'analysis_hydrogen costs'!$AC$5:$AD$22</c:f>
              <c:multiLvlStrCache>
                <c:ptCount val="18"/>
                <c:lvl>
                  <c:pt idx="0">
                    <c:v>STG</c:v>
                  </c:pt>
                  <c:pt idx="1">
                    <c:v>SLG</c:v>
                  </c:pt>
                  <c:pt idx="2">
                    <c:v>SPG</c:v>
                  </c:pt>
                  <c:pt idx="3">
                    <c:v>ETG</c:v>
                  </c:pt>
                  <c:pt idx="4">
                    <c:v>ELG</c:v>
                  </c:pt>
                  <c:pt idx="5">
                    <c:v>EPG</c:v>
                  </c:pt>
                  <c:pt idx="6">
                    <c:v>STG</c:v>
                  </c:pt>
                  <c:pt idx="7">
                    <c:v>SLG</c:v>
                  </c:pt>
                  <c:pt idx="8">
                    <c:v>SPG</c:v>
                  </c:pt>
                  <c:pt idx="9">
                    <c:v>ETG</c:v>
                  </c:pt>
                  <c:pt idx="10">
                    <c:v>ELG</c:v>
                  </c:pt>
                  <c:pt idx="11">
                    <c:v>EPG</c:v>
                  </c:pt>
                  <c:pt idx="12">
                    <c:v>STG</c:v>
                  </c:pt>
                  <c:pt idx="13">
                    <c:v>SLG</c:v>
                  </c:pt>
                  <c:pt idx="14">
                    <c:v>SPG</c:v>
                  </c:pt>
                  <c:pt idx="15">
                    <c:v>ETG</c:v>
                  </c:pt>
                  <c:pt idx="16">
                    <c:v>ELG</c:v>
                  </c:pt>
                  <c:pt idx="17">
                    <c:v>EPG</c:v>
                  </c:pt>
                </c:lvl>
                <c:lvl>
                  <c:pt idx="0">
                    <c:v>Near term (2025-2030)</c:v>
                  </c:pt>
                  <c:pt idx="6">
                    <c:v>Mid term (2030-2040)</c:v>
                  </c:pt>
                  <c:pt idx="12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costs'!$AF$5:$AF$22</c:f>
              <c:numCache>
                <c:formatCode>_("$"* #,##0.00_);_("$"* \(#,##0.00\);_("$"* "-"??_);_(@_)</c:formatCode>
                <c:ptCount val="18"/>
                <c:pt idx="0">
                  <c:v>3.0300000000000002</c:v>
                </c:pt>
                <c:pt idx="1">
                  <c:v>3.0535545246936673</c:v>
                </c:pt>
                <c:pt idx="2">
                  <c:v>2.6206390438110789</c:v>
                </c:pt>
                <c:pt idx="3">
                  <c:v>1.87</c:v>
                </c:pt>
                <c:pt idx="4">
                  <c:v>1.8935545246936669</c:v>
                </c:pt>
                <c:pt idx="5">
                  <c:v>1.4606390438110788</c:v>
                </c:pt>
                <c:pt idx="6">
                  <c:v>2.06</c:v>
                </c:pt>
                <c:pt idx="7">
                  <c:v>2.1356277307999023</c:v>
                </c:pt>
                <c:pt idx="8">
                  <c:v>1.72</c:v>
                </c:pt>
                <c:pt idx="9">
                  <c:v>1.42</c:v>
                </c:pt>
                <c:pt idx="10">
                  <c:v>1.495627730799902</c:v>
                </c:pt>
                <c:pt idx="11">
                  <c:v>1.08</c:v>
                </c:pt>
                <c:pt idx="12">
                  <c:v>3.3</c:v>
                </c:pt>
                <c:pt idx="13">
                  <c:v>3.3813326128613728</c:v>
                </c:pt>
                <c:pt idx="14">
                  <c:v>2.9699999999999998</c:v>
                </c:pt>
                <c:pt idx="15">
                  <c:v>1.1599999999999999</c:v>
                </c:pt>
                <c:pt idx="16">
                  <c:v>1.2413326128613729</c:v>
                </c:pt>
                <c:pt idx="17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FB-4957-8161-DBC951BCE866}"/>
            </c:ext>
          </c:extLst>
        </c:ser>
        <c:ser>
          <c:idx val="2"/>
          <c:order val="2"/>
          <c:tx>
            <c:strRef>
              <c:f>'analysis_hydrogen costs'!$AG$4</c:f>
              <c:strCache>
                <c:ptCount val="1"/>
                <c:pt idx="0">
                  <c:v> Variable cost including feed stock costs($/kg)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'analysis_hydrogen costs'!$AC$5:$AD$22</c:f>
              <c:multiLvlStrCache>
                <c:ptCount val="18"/>
                <c:lvl>
                  <c:pt idx="0">
                    <c:v>STG</c:v>
                  </c:pt>
                  <c:pt idx="1">
                    <c:v>SLG</c:v>
                  </c:pt>
                  <c:pt idx="2">
                    <c:v>SPG</c:v>
                  </c:pt>
                  <c:pt idx="3">
                    <c:v>ETG</c:v>
                  </c:pt>
                  <c:pt idx="4">
                    <c:v>ELG</c:v>
                  </c:pt>
                  <c:pt idx="5">
                    <c:v>EPG</c:v>
                  </c:pt>
                  <c:pt idx="6">
                    <c:v>STG</c:v>
                  </c:pt>
                  <c:pt idx="7">
                    <c:v>SLG</c:v>
                  </c:pt>
                  <c:pt idx="8">
                    <c:v>SPG</c:v>
                  </c:pt>
                  <c:pt idx="9">
                    <c:v>ETG</c:v>
                  </c:pt>
                  <c:pt idx="10">
                    <c:v>ELG</c:v>
                  </c:pt>
                  <c:pt idx="11">
                    <c:v>EPG</c:v>
                  </c:pt>
                  <c:pt idx="12">
                    <c:v>STG</c:v>
                  </c:pt>
                  <c:pt idx="13">
                    <c:v>SLG</c:v>
                  </c:pt>
                  <c:pt idx="14">
                    <c:v>SPG</c:v>
                  </c:pt>
                  <c:pt idx="15">
                    <c:v>ETG</c:v>
                  </c:pt>
                  <c:pt idx="16">
                    <c:v>ELG</c:v>
                  </c:pt>
                  <c:pt idx="17">
                    <c:v>EPG</c:v>
                  </c:pt>
                </c:lvl>
                <c:lvl>
                  <c:pt idx="0">
                    <c:v>Near term (2025-2030)</c:v>
                  </c:pt>
                  <c:pt idx="6">
                    <c:v>Mid term (2030-2040)</c:v>
                  </c:pt>
                  <c:pt idx="12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costs'!$AG$5:$AG$22</c:f>
              <c:numCache>
                <c:formatCode>_("$"* #,##0.00_);_("$"* \(#,##0.00\);_("$"* "-"??_);_(@_)</c:formatCode>
                <c:ptCount val="18"/>
                <c:pt idx="0">
                  <c:v>3.0200000000000005</c:v>
                </c:pt>
                <c:pt idx="1">
                  <c:v>3.6550755565277999</c:v>
                </c:pt>
                <c:pt idx="2">
                  <c:v>3.0148252616813398</c:v>
                </c:pt>
                <c:pt idx="3">
                  <c:v>5.78</c:v>
                </c:pt>
                <c:pt idx="4">
                  <c:v>6.4150755565277997</c:v>
                </c:pt>
                <c:pt idx="5">
                  <c:v>5.7748252616813396</c:v>
                </c:pt>
                <c:pt idx="6">
                  <c:v>1.89</c:v>
                </c:pt>
                <c:pt idx="7">
                  <c:v>2.4238477498653452</c:v>
                </c:pt>
                <c:pt idx="8">
                  <c:v>1.76</c:v>
                </c:pt>
                <c:pt idx="9">
                  <c:v>3.62</c:v>
                </c:pt>
                <c:pt idx="10">
                  <c:v>4.1538477498653457</c:v>
                </c:pt>
                <c:pt idx="11">
                  <c:v>3.4899999999999998</c:v>
                </c:pt>
                <c:pt idx="12">
                  <c:v>2.6500000000000004</c:v>
                </c:pt>
                <c:pt idx="13">
                  <c:v>3.0826199432028911</c:v>
                </c:pt>
                <c:pt idx="14">
                  <c:v>2.39</c:v>
                </c:pt>
                <c:pt idx="15">
                  <c:v>1.46</c:v>
                </c:pt>
                <c:pt idx="16">
                  <c:v>1.8926199432028907</c:v>
                </c:pt>
                <c:pt idx="17">
                  <c:v>1.2000000000000002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FB-4957-8161-DBC951BCE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6668623"/>
        <c:axId val="1892554815"/>
      </c:barChart>
      <c:catAx>
        <c:axId val="202666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Pathways</a:t>
                </a:r>
              </a:p>
            </c:rich>
          </c:tx>
          <c:layout>
            <c:manualLayout>
              <c:xMode val="edge"/>
              <c:yMode val="edge"/>
              <c:x val="1.1658439753854289E-2"/>
              <c:y val="0.8638717636707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54815"/>
        <c:crosses val="autoZero"/>
        <c:auto val="1"/>
        <c:lblAlgn val="ctr"/>
        <c:lblOffset val="100"/>
        <c:noMultiLvlLbl val="0"/>
      </c:catAx>
      <c:valAx>
        <c:axId val="18925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$/kg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2666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640961202346081"/>
          <c:y val="0.14397040286804069"/>
          <c:w val="0.68795733000350257"/>
          <c:h val="8.5904576654759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Breakup : Cost of Hydrogen for Heavy duty vehicle refuelling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8169984106555E-2"/>
          <c:y val="0.15006237006237008"/>
          <c:w val="0.87706972390986615"/>
          <c:h val="0.666832999794265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'analysis_hydrogen costs'!$AJ$40</c:f>
              <c:strCache>
                <c:ptCount val="1"/>
                <c:pt idx="0">
                  <c:v> Capital costs($/kg)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'analysis_hydrogen costs'!$AH$41:$AI$64</c:f>
              <c:multiLvlStrCache>
                <c:ptCount val="24"/>
                <c:lvl>
                  <c:pt idx="0">
                    <c:v>SLL</c:v>
                  </c:pt>
                  <c:pt idx="1">
                    <c:v>SPG</c:v>
                  </c:pt>
                  <c:pt idx="2">
                    <c:v>ELL</c:v>
                  </c:pt>
                  <c:pt idx="3">
                    <c:v>EPG</c:v>
                  </c:pt>
                  <c:pt idx="4">
                    <c:v>SG</c:v>
                  </c:pt>
                  <c:pt idx="5">
                    <c:v>SL</c:v>
                  </c:pt>
                  <c:pt idx="6">
                    <c:v>EG</c:v>
                  </c:pt>
                  <c:pt idx="7">
                    <c:v>EL</c:v>
                  </c:pt>
                  <c:pt idx="8">
                    <c:v>SLL</c:v>
                  </c:pt>
                  <c:pt idx="9">
                    <c:v>SPG</c:v>
                  </c:pt>
                  <c:pt idx="10">
                    <c:v>ELL</c:v>
                  </c:pt>
                  <c:pt idx="11">
                    <c:v>EPG</c:v>
                  </c:pt>
                  <c:pt idx="12">
                    <c:v>SG</c:v>
                  </c:pt>
                  <c:pt idx="13">
                    <c:v>SL</c:v>
                  </c:pt>
                  <c:pt idx="14">
                    <c:v>EG</c:v>
                  </c:pt>
                  <c:pt idx="15">
                    <c:v>EL</c:v>
                  </c:pt>
                  <c:pt idx="16">
                    <c:v>SLL</c:v>
                  </c:pt>
                  <c:pt idx="17">
                    <c:v>SPG</c:v>
                  </c:pt>
                  <c:pt idx="18">
                    <c:v>ELL</c:v>
                  </c:pt>
                  <c:pt idx="19">
                    <c:v>EPG</c:v>
                  </c:pt>
                  <c:pt idx="20">
                    <c:v>SG</c:v>
                  </c:pt>
                  <c:pt idx="21">
                    <c:v>SL</c:v>
                  </c:pt>
                  <c:pt idx="22">
                    <c:v>EG</c:v>
                  </c:pt>
                  <c:pt idx="23">
                    <c:v>EL</c:v>
                  </c:pt>
                </c:lvl>
                <c:lvl>
                  <c:pt idx="0">
                    <c:v>Near term (2025-2030)</c:v>
                  </c:pt>
                  <c:pt idx="8">
                    <c:v>Mid term (2030-2040)</c:v>
                  </c:pt>
                  <c:pt idx="16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costs'!$AJ$41:$AJ$64</c:f>
              <c:numCache>
                <c:formatCode>_("$"* #,##0.00_);_("$"* \(#,##0.00\);_("$"* "-"??_);_(@_)</c:formatCode>
                <c:ptCount val="24"/>
                <c:pt idx="0">
                  <c:v>5.27</c:v>
                </c:pt>
                <c:pt idx="1">
                  <c:v>4.2300000000000004</c:v>
                </c:pt>
                <c:pt idx="2">
                  <c:v>3.2584628362962649</c:v>
                </c:pt>
                <c:pt idx="3">
                  <c:v>2.2184628362962648</c:v>
                </c:pt>
                <c:pt idx="4">
                  <c:v>1.47</c:v>
                </c:pt>
                <c:pt idx="5">
                  <c:v>2.519465152816788</c:v>
                </c:pt>
                <c:pt idx="6">
                  <c:v>2.09</c:v>
                </c:pt>
                <c:pt idx="7">
                  <c:v>2.9395261350399715</c:v>
                </c:pt>
                <c:pt idx="8">
                  <c:v>4.6326259463228237</c:v>
                </c:pt>
                <c:pt idx="9">
                  <c:v>3.61</c:v>
                </c:pt>
                <c:pt idx="10">
                  <c:v>2.4326259463228239</c:v>
                </c:pt>
                <c:pt idx="11">
                  <c:v>1.4100000000000001</c:v>
                </c:pt>
                <c:pt idx="12">
                  <c:v>0.84</c:v>
                </c:pt>
                <c:pt idx="13">
                  <c:v>1.9079771197365545</c:v>
                </c:pt>
                <c:pt idx="14">
                  <c:v>1.3</c:v>
                </c:pt>
                <c:pt idx="15">
                  <c:v>2.1831977866393877</c:v>
                </c:pt>
                <c:pt idx="16">
                  <c:v>4.5233607673382448</c:v>
                </c:pt>
                <c:pt idx="17">
                  <c:v>3.51</c:v>
                </c:pt>
                <c:pt idx="18">
                  <c:v>1.9033607673382456</c:v>
                </c:pt>
                <c:pt idx="19">
                  <c:v>0.89</c:v>
                </c:pt>
                <c:pt idx="20">
                  <c:v>0.74</c:v>
                </c:pt>
                <c:pt idx="21">
                  <c:v>1.7744862594521615</c:v>
                </c:pt>
                <c:pt idx="22">
                  <c:v>0.83</c:v>
                </c:pt>
                <c:pt idx="23">
                  <c:v>1.6921737463903015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7-447F-91FF-D308551860AA}"/>
            </c:ext>
          </c:extLst>
        </c:ser>
        <c:ser>
          <c:idx val="1"/>
          <c:order val="1"/>
          <c:tx>
            <c:strRef>
              <c:f>'analysis_hydrogen costs'!$AK$40</c:f>
              <c:strCache>
                <c:ptCount val="1"/>
                <c:pt idx="0">
                  <c:v> O&amp;M costs($/kg)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'analysis_hydrogen costs'!$AH$41:$AI$64</c:f>
              <c:multiLvlStrCache>
                <c:ptCount val="24"/>
                <c:lvl>
                  <c:pt idx="0">
                    <c:v>SLL</c:v>
                  </c:pt>
                  <c:pt idx="1">
                    <c:v>SPG</c:v>
                  </c:pt>
                  <c:pt idx="2">
                    <c:v>ELL</c:v>
                  </c:pt>
                  <c:pt idx="3">
                    <c:v>EPG</c:v>
                  </c:pt>
                  <c:pt idx="4">
                    <c:v>SG</c:v>
                  </c:pt>
                  <c:pt idx="5">
                    <c:v>SL</c:v>
                  </c:pt>
                  <c:pt idx="6">
                    <c:v>EG</c:v>
                  </c:pt>
                  <c:pt idx="7">
                    <c:v>EL</c:v>
                  </c:pt>
                  <c:pt idx="8">
                    <c:v>SLL</c:v>
                  </c:pt>
                  <c:pt idx="9">
                    <c:v>SPG</c:v>
                  </c:pt>
                  <c:pt idx="10">
                    <c:v>ELL</c:v>
                  </c:pt>
                  <c:pt idx="11">
                    <c:v>EPG</c:v>
                  </c:pt>
                  <c:pt idx="12">
                    <c:v>SG</c:v>
                  </c:pt>
                  <c:pt idx="13">
                    <c:v>SL</c:v>
                  </c:pt>
                  <c:pt idx="14">
                    <c:v>EG</c:v>
                  </c:pt>
                  <c:pt idx="15">
                    <c:v>EL</c:v>
                  </c:pt>
                  <c:pt idx="16">
                    <c:v>SLL</c:v>
                  </c:pt>
                  <c:pt idx="17">
                    <c:v>SPG</c:v>
                  </c:pt>
                  <c:pt idx="18">
                    <c:v>ELL</c:v>
                  </c:pt>
                  <c:pt idx="19">
                    <c:v>EPG</c:v>
                  </c:pt>
                  <c:pt idx="20">
                    <c:v>SG</c:v>
                  </c:pt>
                  <c:pt idx="21">
                    <c:v>SL</c:v>
                  </c:pt>
                  <c:pt idx="22">
                    <c:v>EG</c:v>
                  </c:pt>
                  <c:pt idx="23">
                    <c:v>EL</c:v>
                  </c:pt>
                </c:lvl>
                <c:lvl>
                  <c:pt idx="0">
                    <c:v>Near term (2025-2030)</c:v>
                  </c:pt>
                  <c:pt idx="8">
                    <c:v>Mid term (2030-2040)</c:v>
                  </c:pt>
                  <c:pt idx="16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costs'!$AK$41:$AK$64</c:f>
              <c:numCache>
                <c:formatCode>_("$"* #,##0.00_);_("$"* \(#,##0.00\);_("$"* "-"??_);_(@_)</c:formatCode>
                <c:ptCount val="24"/>
                <c:pt idx="0">
                  <c:v>2.56</c:v>
                </c:pt>
                <c:pt idx="1">
                  <c:v>2.1500000000000004</c:v>
                </c:pt>
                <c:pt idx="2">
                  <c:v>1.4</c:v>
                </c:pt>
                <c:pt idx="3">
                  <c:v>1.0900000000000001</c:v>
                </c:pt>
                <c:pt idx="4">
                  <c:v>0.65</c:v>
                </c:pt>
                <c:pt idx="5">
                  <c:v>1.5178384984117987</c:v>
                </c:pt>
                <c:pt idx="6">
                  <c:v>1.0900000000000001</c:v>
                </c:pt>
                <c:pt idx="7">
                  <c:v>1.6096027373082373</c:v>
                </c:pt>
                <c:pt idx="8">
                  <c:v>1.7453517813209205</c:v>
                </c:pt>
                <c:pt idx="9">
                  <c:v>1.3599999999999999</c:v>
                </c:pt>
                <c:pt idx="10">
                  <c:v>1.1053517813209206</c:v>
                </c:pt>
                <c:pt idx="11">
                  <c:v>0.72</c:v>
                </c:pt>
                <c:pt idx="12">
                  <c:v>0.46</c:v>
                </c:pt>
                <c:pt idx="13">
                  <c:v>1.3002191803027248</c:v>
                </c:pt>
                <c:pt idx="14">
                  <c:v>0.79</c:v>
                </c:pt>
                <c:pt idx="15">
                  <c:v>1.3047483641203745</c:v>
                </c:pt>
                <c:pt idx="16">
                  <c:v>2.9991739209713066</c:v>
                </c:pt>
                <c:pt idx="17">
                  <c:v>2.62</c:v>
                </c:pt>
                <c:pt idx="18">
                  <c:v>0.86917392097130663</c:v>
                </c:pt>
                <c:pt idx="19">
                  <c:v>0.49</c:v>
                </c:pt>
                <c:pt idx="20">
                  <c:v>0.44</c:v>
                </c:pt>
                <c:pt idx="21">
                  <c:v>1.2467113099383189</c:v>
                </c:pt>
                <c:pt idx="22">
                  <c:v>0.49</c:v>
                </c:pt>
                <c:pt idx="23">
                  <c:v>1.0031211529720325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D7-447F-91FF-D308551860AA}"/>
            </c:ext>
          </c:extLst>
        </c:ser>
        <c:ser>
          <c:idx val="2"/>
          <c:order val="2"/>
          <c:tx>
            <c:strRef>
              <c:f>'analysis_hydrogen costs'!$AL$40</c:f>
              <c:strCache>
                <c:ptCount val="1"/>
                <c:pt idx="0">
                  <c:v> Variable cost including feed stock costs($/kg)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'analysis_hydrogen costs'!$AH$41:$AI$64</c:f>
              <c:multiLvlStrCache>
                <c:ptCount val="24"/>
                <c:lvl>
                  <c:pt idx="0">
                    <c:v>SLL</c:v>
                  </c:pt>
                  <c:pt idx="1">
                    <c:v>SPG</c:v>
                  </c:pt>
                  <c:pt idx="2">
                    <c:v>ELL</c:v>
                  </c:pt>
                  <c:pt idx="3">
                    <c:v>EPG</c:v>
                  </c:pt>
                  <c:pt idx="4">
                    <c:v>SG</c:v>
                  </c:pt>
                  <c:pt idx="5">
                    <c:v>SL</c:v>
                  </c:pt>
                  <c:pt idx="6">
                    <c:v>EG</c:v>
                  </c:pt>
                  <c:pt idx="7">
                    <c:v>EL</c:v>
                  </c:pt>
                  <c:pt idx="8">
                    <c:v>SLL</c:v>
                  </c:pt>
                  <c:pt idx="9">
                    <c:v>SPG</c:v>
                  </c:pt>
                  <c:pt idx="10">
                    <c:v>ELL</c:v>
                  </c:pt>
                  <c:pt idx="11">
                    <c:v>EPG</c:v>
                  </c:pt>
                  <c:pt idx="12">
                    <c:v>SG</c:v>
                  </c:pt>
                  <c:pt idx="13">
                    <c:v>SL</c:v>
                  </c:pt>
                  <c:pt idx="14">
                    <c:v>EG</c:v>
                  </c:pt>
                  <c:pt idx="15">
                    <c:v>EL</c:v>
                  </c:pt>
                  <c:pt idx="16">
                    <c:v>SLL</c:v>
                  </c:pt>
                  <c:pt idx="17">
                    <c:v>SPG</c:v>
                  </c:pt>
                  <c:pt idx="18">
                    <c:v>ELL</c:v>
                  </c:pt>
                  <c:pt idx="19">
                    <c:v>EPG</c:v>
                  </c:pt>
                  <c:pt idx="20">
                    <c:v>SG</c:v>
                  </c:pt>
                  <c:pt idx="21">
                    <c:v>SL</c:v>
                  </c:pt>
                  <c:pt idx="22">
                    <c:v>EG</c:v>
                  </c:pt>
                  <c:pt idx="23">
                    <c:v>EL</c:v>
                  </c:pt>
                </c:lvl>
                <c:lvl>
                  <c:pt idx="0">
                    <c:v>Near term (2025-2030)</c:v>
                  </c:pt>
                  <c:pt idx="8">
                    <c:v>Mid term (2030-2040)</c:v>
                  </c:pt>
                  <c:pt idx="16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costs'!$AL$41:$AL$64</c:f>
              <c:numCache>
                <c:formatCode>_("$"* #,##0.00_);_("$"* \(#,##0.00\);_("$"* "-"??_);_(@_)</c:formatCode>
                <c:ptCount val="24"/>
                <c:pt idx="0">
                  <c:v>3.7600000000000007</c:v>
                </c:pt>
                <c:pt idx="1">
                  <c:v>2.88</c:v>
                </c:pt>
                <c:pt idx="2">
                  <c:v>6.52</c:v>
                </c:pt>
                <c:pt idx="3">
                  <c:v>5.6400000000000006</c:v>
                </c:pt>
                <c:pt idx="4">
                  <c:v>4.2</c:v>
                </c:pt>
                <c:pt idx="5">
                  <c:v>2.0572300145681828</c:v>
                </c:pt>
                <c:pt idx="6">
                  <c:v>5.45</c:v>
                </c:pt>
                <c:pt idx="7">
                  <c:v>6.3665409127546813</c:v>
                </c:pt>
                <c:pt idx="8">
                  <c:v>2.1824845548403484</c:v>
                </c:pt>
                <c:pt idx="9">
                  <c:v>1.68</c:v>
                </c:pt>
                <c:pt idx="10">
                  <c:v>3.912484554840348</c:v>
                </c:pt>
                <c:pt idx="11">
                  <c:v>3.41</c:v>
                </c:pt>
                <c:pt idx="12">
                  <c:v>3.04</c:v>
                </c:pt>
                <c:pt idx="13">
                  <c:v>1.6926945694085302</c:v>
                </c:pt>
                <c:pt idx="14">
                  <c:v>3.25</c:v>
                </c:pt>
                <c:pt idx="15">
                  <c:v>3.7987765520376979</c:v>
                </c:pt>
                <c:pt idx="16">
                  <c:v>2.4974948516134492</c:v>
                </c:pt>
                <c:pt idx="17">
                  <c:v>2.35</c:v>
                </c:pt>
                <c:pt idx="18">
                  <c:v>1.3174948516134493</c:v>
                </c:pt>
                <c:pt idx="19">
                  <c:v>1.1700000000000002</c:v>
                </c:pt>
                <c:pt idx="20">
                  <c:v>2</c:v>
                </c:pt>
                <c:pt idx="21">
                  <c:v>1.2527263565165607</c:v>
                </c:pt>
                <c:pt idx="22">
                  <c:v>1.04</c:v>
                </c:pt>
                <c:pt idx="23">
                  <c:v>1.2271645599174763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D7-447F-91FF-D3085518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6668623"/>
        <c:axId val="1892554815"/>
      </c:barChart>
      <c:catAx>
        <c:axId val="202666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Pathways</a:t>
                </a:r>
              </a:p>
            </c:rich>
          </c:tx>
          <c:layout>
            <c:manualLayout>
              <c:xMode val="edge"/>
              <c:yMode val="edge"/>
              <c:x val="1.1658439753854289E-2"/>
              <c:y val="0.8638717636707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54815"/>
        <c:crosses val="autoZero"/>
        <c:auto val="1"/>
        <c:lblAlgn val="ctr"/>
        <c:lblOffset val="100"/>
        <c:noMultiLvlLbl val="0"/>
      </c:catAx>
      <c:valAx>
        <c:axId val="18925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$/kg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2666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640961202346081"/>
          <c:y val="0.14397040286804069"/>
          <c:w val="0.68795733000350257"/>
          <c:h val="8.5904576654759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Cost of Hydrogen for light duty vehicle refuelling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8169984106555E-2"/>
          <c:y val="0.15006237006237008"/>
          <c:w val="0.87706972390986615"/>
          <c:h val="0.666832999794265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'analysis_hydrogen costs'!$J$5</c:f>
              <c:strCache>
                <c:ptCount val="1"/>
                <c:pt idx="0">
                  <c:v> Production costs($/kg)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'analysis_hydrogen costs'!$H$6:$I$23</c:f>
              <c:multiLvlStrCache>
                <c:ptCount val="18"/>
                <c:lvl>
                  <c:pt idx="0">
                    <c:v>STG</c:v>
                  </c:pt>
                  <c:pt idx="1">
                    <c:v>SLG</c:v>
                  </c:pt>
                  <c:pt idx="2">
                    <c:v>SPG</c:v>
                  </c:pt>
                  <c:pt idx="3">
                    <c:v>ETG</c:v>
                  </c:pt>
                  <c:pt idx="4">
                    <c:v>ELG</c:v>
                  </c:pt>
                  <c:pt idx="5">
                    <c:v>EPG</c:v>
                  </c:pt>
                  <c:pt idx="6">
                    <c:v>STG</c:v>
                  </c:pt>
                  <c:pt idx="7">
                    <c:v>SLG</c:v>
                  </c:pt>
                  <c:pt idx="8">
                    <c:v>SPG</c:v>
                  </c:pt>
                  <c:pt idx="9">
                    <c:v>ETG</c:v>
                  </c:pt>
                  <c:pt idx="10">
                    <c:v>ELG</c:v>
                  </c:pt>
                  <c:pt idx="11">
                    <c:v>EPG</c:v>
                  </c:pt>
                  <c:pt idx="12">
                    <c:v>STG</c:v>
                  </c:pt>
                  <c:pt idx="13">
                    <c:v>SLG</c:v>
                  </c:pt>
                  <c:pt idx="14">
                    <c:v>SPG</c:v>
                  </c:pt>
                  <c:pt idx="15">
                    <c:v>ETG</c:v>
                  </c:pt>
                  <c:pt idx="16">
                    <c:v>ELG</c:v>
                  </c:pt>
                  <c:pt idx="17">
                    <c:v>EPG</c:v>
                  </c:pt>
                </c:lvl>
                <c:lvl>
                  <c:pt idx="0">
                    <c:v>Near term (2025-2030)</c:v>
                  </c:pt>
                  <c:pt idx="6">
                    <c:v>Mid term (2030-2040)</c:v>
                  </c:pt>
                  <c:pt idx="12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costs'!$J$6:$J$23</c:f>
              <c:numCache>
                <c:formatCode>_("$"* #,##0.00_);_("$"* \(#,##0.00\);_("$"* "-"??_);_(@_)</c:formatCode>
                <c:ptCount val="18"/>
                <c:pt idx="0">
                  <c:v>2.34</c:v>
                </c:pt>
                <c:pt idx="1">
                  <c:v>2.34</c:v>
                </c:pt>
                <c:pt idx="2">
                  <c:v>2.34</c:v>
                </c:pt>
                <c:pt idx="3">
                  <c:v>6.4959947295616072</c:v>
                </c:pt>
                <c:pt idx="4">
                  <c:v>6.4959947295616072</c:v>
                </c:pt>
                <c:pt idx="5">
                  <c:v>6.4959947295616072</c:v>
                </c:pt>
                <c:pt idx="6">
                  <c:v>2.4700000000000002</c:v>
                </c:pt>
                <c:pt idx="7">
                  <c:v>2.4700000000000002</c:v>
                </c:pt>
                <c:pt idx="8">
                  <c:v>2.4700000000000002</c:v>
                </c:pt>
                <c:pt idx="9">
                  <c:v>4.1248474100374786</c:v>
                </c:pt>
                <c:pt idx="10">
                  <c:v>4.1248474100374786</c:v>
                </c:pt>
                <c:pt idx="11">
                  <c:v>4.1248474100374786</c:v>
                </c:pt>
                <c:pt idx="12">
                  <c:v>2.2599999999999998</c:v>
                </c:pt>
                <c:pt idx="13">
                  <c:v>2.2599999999999998</c:v>
                </c:pt>
                <c:pt idx="14">
                  <c:v>2.2599999999999998</c:v>
                </c:pt>
                <c:pt idx="15">
                  <c:v>1.39</c:v>
                </c:pt>
                <c:pt idx="16">
                  <c:v>1.39</c:v>
                </c:pt>
                <c:pt idx="17">
                  <c:v>1.39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A97-9D34-FF885C9EA1BE}"/>
            </c:ext>
          </c:extLst>
        </c:ser>
        <c:ser>
          <c:idx val="1"/>
          <c:order val="1"/>
          <c:tx>
            <c:strRef>
              <c:f>'analysis_hydrogen costs'!$K$5</c:f>
              <c:strCache>
                <c:ptCount val="1"/>
                <c:pt idx="0">
                  <c:v> Delivery Costs($/kg)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'analysis_hydrogen costs'!$H$6:$I$23</c:f>
              <c:multiLvlStrCache>
                <c:ptCount val="18"/>
                <c:lvl>
                  <c:pt idx="0">
                    <c:v>STG</c:v>
                  </c:pt>
                  <c:pt idx="1">
                    <c:v>SLG</c:v>
                  </c:pt>
                  <c:pt idx="2">
                    <c:v>SPG</c:v>
                  </c:pt>
                  <c:pt idx="3">
                    <c:v>ETG</c:v>
                  </c:pt>
                  <c:pt idx="4">
                    <c:v>ELG</c:v>
                  </c:pt>
                  <c:pt idx="5">
                    <c:v>EPG</c:v>
                  </c:pt>
                  <c:pt idx="6">
                    <c:v>STG</c:v>
                  </c:pt>
                  <c:pt idx="7">
                    <c:v>SLG</c:v>
                  </c:pt>
                  <c:pt idx="8">
                    <c:v>SPG</c:v>
                  </c:pt>
                  <c:pt idx="9">
                    <c:v>ETG</c:v>
                  </c:pt>
                  <c:pt idx="10">
                    <c:v>ELG</c:v>
                  </c:pt>
                  <c:pt idx="11">
                    <c:v>EPG</c:v>
                  </c:pt>
                  <c:pt idx="12">
                    <c:v>STG</c:v>
                  </c:pt>
                  <c:pt idx="13">
                    <c:v>SLG</c:v>
                  </c:pt>
                  <c:pt idx="14">
                    <c:v>SPG</c:v>
                  </c:pt>
                  <c:pt idx="15">
                    <c:v>ETG</c:v>
                  </c:pt>
                  <c:pt idx="16">
                    <c:v>ELG</c:v>
                  </c:pt>
                  <c:pt idx="17">
                    <c:v>EPG</c:v>
                  </c:pt>
                </c:lvl>
                <c:lvl>
                  <c:pt idx="0">
                    <c:v>Near term (2025-2030)</c:v>
                  </c:pt>
                  <c:pt idx="6">
                    <c:v>Mid term (2030-2040)</c:v>
                  </c:pt>
                  <c:pt idx="12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costs'!$K$6:$K$23</c:f>
              <c:numCache>
                <c:formatCode>_("$"* #,##0.00_);_("$"* \(#,##0.00\);_("$"* "-"??_);_(@_)</c:formatCode>
                <c:ptCount val="18"/>
                <c:pt idx="0">
                  <c:v>2.3502521842007189</c:v>
                </c:pt>
                <c:pt idx="1">
                  <c:v>2.8522365335654949</c:v>
                </c:pt>
                <c:pt idx="2">
                  <c:v>3.8785433778643656</c:v>
                </c:pt>
                <c:pt idx="3">
                  <c:v>2.3502521842007189</c:v>
                </c:pt>
                <c:pt idx="4">
                  <c:v>2.8522365335654949</c:v>
                </c:pt>
                <c:pt idx="5">
                  <c:v>3.8785433778643656</c:v>
                </c:pt>
                <c:pt idx="6">
                  <c:v>1.7621652175789317</c:v>
                </c:pt>
                <c:pt idx="7">
                  <c:v>2.7300512159056183</c:v>
                </c:pt>
                <c:pt idx="8">
                  <c:v>2.5801309552065725</c:v>
                </c:pt>
                <c:pt idx="9">
                  <c:v>1.7621652175789317</c:v>
                </c:pt>
                <c:pt idx="10">
                  <c:v>2.7300512159056183</c:v>
                </c:pt>
                <c:pt idx="11">
                  <c:v>2.5801309552065725</c:v>
                </c:pt>
                <c:pt idx="12">
                  <c:v>1.6739510676506639</c:v>
                </c:pt>
                <c:pt idx="13">
                  <c:v>2.4698306120886349</c:v>
                </c:pt>
                <c:pt idx="14">
                  <c:v>1.096616044309447</c:v>
                </c:pt>
                <c:pt idx="15">
                  <c:v>1.6739510676506639</c:v>
                </c:pt>
                <c:pt idx="16">
                  <c:v>2.4698306120886349</c:v>
                </c:pt>
                <c:pt idx="17">
                  <c:v>1.096616044309447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2F-4A97-9D34-FF885C9EA1BE}"/>
            </c:ext>
          </c:extLst>
        </c:ser>
        <c:ser>
          <c:idx val="2"/>
          <c:order val="2"/>
          <c:tx>
            <c:strRef>
              <c:f>'analysis_hydrogen costs'!$L$5</c:f>
              <c:strCache>
                <c:ptCount val="1"/>
                <c:pt idx="0">
                  <c:v> Refuelling  costs($/kg)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'analysis_hydrogen costs'!$H$6:$I$23</c:f>
              <c:multiLvlStrCache>
                <c:ptCount val="18"/>
                <c:lvl>
                  <c:pt idx="0">
                    <c:v>STG</c:v>
                  </c:pt>
                  <c:pt idx="1">
                    <c:v>SLG</c:v>
                  </c:pt>
                  <c:pt idx="2">
                    <c:v>SPG</c:v>
                  </c:pt>
                  <c:pt idx="3">
                    <c:v>ETG</c:v>
                  </c:pt>
                  <c:pt idx="4">
                    <c:v>ELG</c:v>
                  </c:pt>
                  <c:pt idx="5">
                    <c:v>EPG</c:v>
                  </c:pt>
                  <c:pt idx="6">
                    <c:v>STG</c:v>
                  </c:pt>
                  <c:pt idx="7">
                    <c:v>SLG</c:v>
                  </c:pt>
                  <c:pt idx="8">
                    <c:v>SPG</c:v>
                  </c:pt>
                  <c:pt idx="9">
                    <c:v>ETG</c:v>
                  </c:pt>
                  <c:pt idx="10">
                    <c:v>ELG</c:v>
                  </c:pt>
                  <c:pt idx="11">
                    <c:v>EPG</c:v>
                  </c:pt>
                  <c:pt idx="12">
                    <c:v>STG</c:v>
                  </c:pt>
                  <c:pt idx="13">
                    <c:v>SLG</c:v>
                  </c:pt>
                  <c:pt idx="14">
                    <c:v>SPG</c:v>
                  </c:pt>
                  <c:pt idx="15">
                    <c:v>ETG</c:v>
                  </c:pt>
                  <c:pt idx="16">
                    <c:v>ELG</c:v>
                  </c:pt>
                  <c:pt idx="17">
                    <c:v>EPG</c:v>
                  </c:pt>
                </c:lvl>
                <c:lvl>
                  <c:pt idx="0">
                    <c:v>Near term (2025-2030)</c:v>
                  </c:pt>
                  <c:pt idx="6">
                    <c:v>Mid term (2030-2040)</c:v>
                  </c:pt>
                  <c:pt idx="12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costs'!$L$6:$L$23</c:f>
              <c:numCache>
                <c:formatCode>_("$"* #,##0.00_);_("$"* \(#,##0.00\);_("$"* "-"??_);_(@_)</c:formatCode>
                <c:ptCount val="18"/>
                <c:pt idx="0">
                  <c:v>4.3977326000066688</c:v>
                </c:pt>
                <c:pt idx="1">
                  <c:v>5.2087250676795929</c:v>
                </c:pt>
                <c:pt idx="2">
                  <c:v>4.7111602408299689</c:v>
                </c:pt>
                <c:pt idx="3">
                  <c:v>4.3977326000066688</c:v>
                </c:pt>
                <c:pt idx="4">
                  <c:v>5.2087250676795929</c:v>
                </c:pt>
                <c:pt idx="5">
                  <c:v>4.7111602408299689</c:v>
                </c:pt>
                <c:pt idx="6">
                  <c:v>3.3754124372090106</c:v>
                </c:pt>
                <c:pt idx="7">
                  <c:v>4.4654388893665091</c:v>
                </c:pt>
                <c:pt idx="8">
                  <c:v>3.8716930062799837</c:v>
                </c:pt>
                <c:pt idx="9">
                  <c:v>3.3754124372090106</c:v>
                </c:pt>
                <c:pt idx="10">
                  <c:v>4.4654388893665091</c:v>
                </c:pt>
                <c:pt idx="11">
                  <c:v>3.8716930062799837</c:v>
                </c:pt>
                <c:pt idx="12">
                  <c:v>1.8772351405311944</c:v>
                </c:pt>
                <c:pt idx="13">
                  <c:v>1.6781991393914344</c:v>
                </c:pt>
                <c:pt idx="14">
                  <c:v>1.5614593237578549</c:v>
                </c:pt>
                <c:pt idx="15">
                  <c:v>1.8772351405311944</c:v>
                </c:pt>
                <c:pt idx="16">
                  <c:v>1.6781991393914344</c:v>
                </c:pt>
                <c:pt idx="17">
                  <c:v>1.5614593237578549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2F-4A97-9D34-FF885C9E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6668623"/>
        <c:axId val="1892554815"/>
      </c:barChart>
      <c:catAx>
        <c:axId val="202666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Pathways</a:t>
                </a:r>
              </a:p>
            </c:rich>
          </c:tx>
          <c:layout>
            <c:manualLayout>
              <c:xMode val="edge"/>
              <c:yMode val="edge"/>
              <c:x val="1.1658439753854289E-2"/>
              <c:y val="0.86387176367070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54815"/>
        <c:crosses val="autoZero"/>
        <c:auto val="1"/>
        <c:lblAlgn val="ctr"/>
        <c:lblOffset val="100"/>
        <c:noMultiLvlLbl val="0"/>
      </c:catAx>
      <c:valAx>
        <c:axId val="189255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$/kg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2666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973641667937257"/>
          <c:y val="0.17604397935612481"/>
          <c:w val="0.23479597928390045"/>
          <c:h val="0.174998147977703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Cost of Hydrogen for heavy duty vehicle refuelling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3141526677021"/>
          <c:y val="0.10974171916494189"/>
          <c:w val="0.87706972390986615"/>
          <c:h val="0.666832999794265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'analysis_hydrogen costs'!$L$38</c:f>
              <c:strCache>
                <c:ptCount val="1"/>
                <c:pt idx="0">
                  <c:v> Production costs($/kg)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'analysis_hydrogen costs'!$J$39:$K$62</c:f>
              <c:multiLvlStrCache>
                <c:ptCount val="24"/>
                <c:lvl>
                  <c:pt idx="0">
                    <c:v>SLL</c:v>
                  </c:pt>
                  <c:pt idx="1">
                    <c:v>SPG</c:v>
                  </c:pt>
                  <c:pt idx="2">
                    <c:v>ELL</c:v>
                  </c:pt>
                  <c:pt idx="3">
                    <c:v>EPG</c:v>
                  </c:pt>
                  <c:pt idx="4">
                    <c:v>SG</c:v>
                  </c:pt>
                  <c:pt idx="5">
                    <c:v>SL</c:v>
                  </c:pt>
                  <c:pt idx="6">
                    <c:v>EG</c:v>
                  </c:pt>
                  <c:pt idx="7">
                    <c:v>EL</c:v>
                  </c:pt>
                  <c:pt idx="8">
                    <c:v>SLL</c:v>
                  </c:pt>
                  <c:pt idx="9">
                    <c:v>SPG</c:v>
                  </c:pt>
                  <c:pt idx="10">
                    <c:v>ELL</c:v>
                  </c:pt>
                  <c:pt idx="11">
                    <c:v>EPG</c:v>
                  </c:pt>
                  <c:pt idx="12">
                    <c:v>SG</c:v>
                  </c:pt>
                  <c:pt idx="13">
                    <c:v>SL</c:v>
                  </c:pt>
                  <c:pt idx="14">
                    <c:v>EG</c:v>
                  </c:pt>
                  <c:pt idx="15">
                    <c:v>EL</c:v>
                  </c:pt>
                  <c:pt idx="16">
                    <c:v>SLL</c:v>
                  </c:pt>
                  <c:pt idx="17">
                    <c:v>SPG</c:v>
                  </c:pt>
                  <c:pt idx="18">
                    <c:v>ELL</c:v>
                  </c:pt>
                  <c:pt idx="19">
                    <c:v>EPG</c:v>
                  </c:pt>
                  <c:pt idx="20">
                    <c:v>SG</c:v>
                  </c:pt>
                  <c:pt idx="21">
                    <c:v>SL</c:v>
                  </c:pt>
                  <c:pt idx="22">
                    <c:v>EG</c:v>
                  </c:pt>
                  <c:pt idx="23">
                    <c:v>EL</c:v>
                  </c:pt>
                </c:lvl>
                <c:lvl>
                  <c:pt idx="0">
                    <c:v>Near term (2025-2030)</c:v>
                  </c:pt>
                  <c:pt idx="8">
                    <c:v>Mid term (2030-2040)</c:v>
                  </c:pt>
                  <c:pt idx="16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costs'!$L$39:$L$62</c:f>
              <c:numCache>
                <c:formatCode>_("$"* #,##0.00_);_("$"* \(#,##0.00\);_("$"* "-"??_);_(@_)</c:formatCode>
                <c:ptCount val="24"/>
                <c:pt idx="0">
                  <c:v>2.34</c:v>
                </c:pt>
                <c:pt idx="1">
                  <c:v>2.34</c:v>
                </c:pt>
                <c:pt idx="2">
                  <c:v>6.4959947295616072</c:v>
                </c:pt>
                <c:pt idx="3">
                  <c:v>6.4959947295616072</c:v>
                </c:pt>
                <c:pt idx="4">
                  <c:v>2</c:v>
                </c:pt>
                <c:pt idx="5">
                  <c:v>2</c:v>
                </c:pt>
                <c:pt idx="6">
                  <c:v>6.89</c:v>
                </c:pt>
                <c:pt idx="7">
                  <c:v>6.89</c:v>
                </c:pt>
                <c:pt idx="8">
                  <c:v>2.4700000000000002</c:v>
                </c:pt>
                <c:pt idx="9">
                  <c:v>2.4700000000000002</c:v>
                </c:pt>
                <c:pt idx="10">
                  <c:v>4.1248474100374786</c:v>
                </c:pt>
                <c:pt idx="11">
                  <c:v>4.1248474100374786</c:v>
                </c:pt>
                <c:pt idx="12">
                  <c:v>2.08</c:v>
                </c:pt>
                <c:pt idx="13">
                  <c:v>2.08</c:v>
                </c:pt>
                <c:pt idx="14">
                  <c:v>4.74</c:v>
                </c:pt>
                <c:pt idx="15">
                  <c:v>4.74</c:v>
                </c:pt>
                <c:pt idx="16">
                  <c:v>2.2599999999999998</c:v>
                </c:pt>
                <c:pt idx="17">
                  <c:v>2.2599999999999998</c:v>
                </c:pt>
                <c:pt idx="18">
                  <c:v>1.39</c:v>
                </c:pt>
                <c:pt idx="19">
                  <c:v>1.39</c:v>
                </c:pt>
                <c:pt idx="20">
                  <c:v>2.09</c:v>
                </c:pt>
                <c:pt idx="21">
                  <c:v>2.09</c:v>
                </c:pt>
                <c:pt idx="22">
                  <c:v>1.8</c:v>
                </c:pt>
                <c:pt idx="23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C-4783-A2D2-973D54629144}"/>
            </c:ext>
          </c:extLst>
        </c:ser>
        <c:ser>
          <c:idx val="1"/>
          <c:order val="1"/>
          <c:tx>
            <c:strRef>
              <c:f>'analysis_hydrogen costs'!$M$38</c:f>
              <c:strCache>
                <c:ptCount val="1"/>
                <c:pt idx="0">
                  <c:v> Delivery Costs($/kg)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'analysis_hydrogen costs'!$J$39:$K$62</c:f>
              <c:multiLvlStrCache>
                <c:ptCount val="24"/>
                <c:lvl>
                  <c:pt idx="0">
                    <c:v>SLL</c:v>
                  </c:pt>
                  <c:pt idx="1">
                    <c:v>SPG</c:v>
                  </c:pt>
                  <c:pt idx="2">
                    <c:v>ELL</c:v>
                  </c:pt>
                  <c:pt idx="3">
                    <c:v>EPG</c:v>
                  </c:pt>
                  <c:pt idx="4">
                    <c:v>SG</c:v>
                  </c:pt>
                  <c:pt idx="5">
                    <c:v>SL</c:v>
                  </c:pt>
                  <c:pt idx="6">
                    <c:v>EG</c:v>
                  </c:pt>
                  <c:pt idx="7">
                    <c:v>EL</c:v>
                  </c:pt>
                  <c:pt idx="8">
                    <c:v>SLL</c:v>
                  </c:pt>
                  <c:pt idx="9">
                    <c:v>SPG</c:v>
                  </c:pt>
                  <c:pt idx="10">
                    <c:v>ELL</c:v>
                  </c:pt>
                  <c:pt idx="11">
                    <c:v>EPG</c:v>
                  </c:pt>
                  <c:pt idx="12">
                    <c:v>SG</c:v>
                  </c:pt>
                  <c:pt idx="13">
                    <c:v>SL</c:v>
                  </c:pt>
                  <c:pt idx="14">
                    <c:v>EG</c:v>
                  </c:pt>
                  <c:pt idx="15">
                    <c:v>EL</c:v>
                  </c:pt>
                  <c:pt idx="16">
                    <c:v>SLL</c:v>
                  </c:pt>
                  <c:pt idx="17">
                    <c:v>SPG</c:v>
                  </c:pt>
                  <c:pt idx="18">
                    <c:v>ELL</c:v>
                  </c:pt>
                  <c:pt idx="19">
                    <c:v>EPG</c:v>
                  </c:pt>
                  <c:pt idx="20">
                    <c:v>SG</c:v>
                  </c:pt>
                  <c:pt idx="21">
                    <c:v>SL</c:v>
                  </c:pt>
                  <c:pt idx="22">
                    <c:v>EG</c:v>
                  </c:pt>
                  <c:pt idx="23">
                    <c:v>EL</c:v>
                  </c:pt>
                </c:lvl>
                <c:lvl>
                  <c:pt idx="0">
                    <c:v>Near term (2025-2030)</c:v>
                  </c:pt>
                  <c:pt idx="8">
                    <c:v>Mid term (2030-2040)</c:v>
                  </c:pt>
                  <c:pt idx="16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costs'!$M$39:$M$62</c:f>
              <c:numCache>
                <c:formatCode>_("$"* #,##0.00_);_("$"* \(#,##0.00\);_("$"* "-"??_);_(@_)</c:formatCode>
                <c:ptCount val="24"/>
                <c:pt idx="0">
                  <c:v>2.9037362266549702</c:v>
                </c:pt>
                <c:pt idx="1">
                  <c:v>1.1309950474067463</c:v>
                </c:pt>
                <c:pt idx="2">
                  <c:v>2.9037362266549702</c:v>
                </c:pt>
                <c:pt idx="3">
                  <c:v>1.1309950474067463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2.3925675242143658</c:v>
                </c:pt>
                <c:pt idx="9">
                  <c:v>0.73104148281152692</c:v>
                </c:pt>
                <c:pt idx="10">
                  <c:v>2.3925675242143658</c:v>
                </c:pt>
                <c:pt idx="11">
                  <c:v>0.73104148281152692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1.7925313677577104</c:v>
                </c:pt>
                <c:pt idx="17">
                  <c:v>0.61668573995821385</c:v>
                </c:pt>
                <c:pt idx="18">
                  <c:v>1.7925313677577104</c:v>
                </c:pt>
                <c:pt idx="19">
                  <c:v>0.61668573995821385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7C-4783-A2D2-973D54629144}"/>
            </c:ext>
          </c:extLst>
        </c:ser>
        <c:ser>
          <c:idx val="2"/>
          <c:order val="2"/>
          <c:tx>
            <c:strRef>
              <c:f>'analysis_hydrogen costs'!$N$38</c:f>
              <c:strCache>
                <c:ptCount val="1"/>
                <c:pt idx="0">
                  <c:v> Refuelling  costs($/kg)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'analysis_hydrogen costs'!$J$39:$K$62</c:f>
              <c:multiLvlStrCache>
                <c:ptCount val="24"/>
                <c:lvl>
                  <c:pt idx="0">
                    <c:v>SLL</c:v>
                  </c:pt>
                  <c:pt idx="1">
                    <c:v>SPG</c:v>
                  </c:pt>
                  <c:pt idx="2">
                    <c:v>ELL</c:v>
                  </c:pt>
                  <c:pt idx="3">
                    <c:v>EPG</c:v>
                  </c:pt>
                  <c:pt idx="4">
                    <c:v>SG</c:v>
                  </c:pt>
                  <c:pt idx="5">
                    <c:v>SL</c:v>
                  </c:pt>
                  <c:pt idx="6">
                    <c:v>EG</c:v>
                  </c:pt>
                  <c:pt idx="7">
                    <c:v>EL</c:v>
                  </c:pt>
                  <c:pt idx="8">
                    <c:v>SLL</c:v>
                  </c:pt>
                  <c:pt idx="9">
                    <c:v>SPG</c:v>
                  </c:pt>
                  <c:pt idx="10">
                    <c:v>ELL</c:v>
                  </c:pt>
                  <c:pt idx="11">
                    <c:v>EPG</c:v>
                  </c:pt>
                  <c:pt idx="12">
                    <c:v>SG</c:v>
                  </c:pt>
                  <c:pt idx="13">
                    <c:v>SL</c:v>
                  </c:pt>
                  <c:pt idx="14">
                    <c:v>EG</c:v>
                  </c:pt>
                  <c:pt idx="15">
                    <c:v>EL</c:v>
                  </c:pt>
                  <c:pt idx="16">
                    <c:v>SLL</c:v>
                  </c:pt>
                  <c:pt idx="17">
                    <c:v>SPG</c:v>
                  </c:pt>
                  <c:pt idx="18">
                    <c:v>ELL</c:v>
                  </c:pt>
                  <c:pt idx="19">
                    <c:v>EPG</c:v>
                  </c:pt>
                  <c:pt idx="20">
                    <c:v>SG</c:v>
                  </c:pt>
                  <c:pt idx="21">
                    <c:v>SL</c:v>
                  </c:pt>
                  <c:pt idx="22">
                    <c:v>EG</c:v>
                  </c:pt>
                  <c:pt idx="23">
                    <c:v>EL</c:v>
                  </c:pt>
                </c:lvl>
                <c:lvl>
                  <c:pt idx="0">
                    <c:v>Near term (2025-2030)</c:v>
                  </c:pt>
                  <c:pt idx="8">
                    <c:v>Mid term (2030-2040)</c:v>
                  </c:pt>
                  <c:pt idx="16">
                    <c:v>Long term     (2040-2050)</c:v>
                  </c:pt>
                </c:lvl>
              </c:multiLvlStrCache>
            </c:multiLvlStrRef>
          </c:cat>
          <c:val>
            <c:numRef>
              <c:f>'analysis_hydrogen costs'!$N$39:$N$62</c:f>
              <c:numCache>
                <c:formatCode>_("$"* #,##0.00_);_("$"* \(#,##0.00\);_("$"* "-"??_);_(@_)</c:formatCode>
                <c:ptCount val="24"/>
                <c:pt idx="0">
                  <c:v>2.8271832362411886</c:v>
                </c:pt>
                <c:pt idx="1">
                  <c:v>2.9259999999999997</c:v>
                </c:pt>
                <c:pt idx="2">
                  <c:v>2.8271832362411886</c:v>
                </c:pt>
                <c:pt idx="3">
                  <c:v>2.9259999999999997</c:v>
                </c:pt>
                <c:pt idx="4">
                  <c:v>3.9709999999999996</c:v>
                </c:pt>
                <c:pt idx="5">
                  <c:v>6.1631483979790325</c:v>
                </c:pt>
                <c:pt idx="6">
                  <c:v>3.9709999999999996</c:v>
                </c:pt>
                <c:pt idx="7">
                  <c:v>6.1631483979790325</c:v>
                </c:pt>
                <c:pt idx="8">
                  <c:v>2.4210170214650035</c:v>
                </c:pt>
                <c:pt idx="9">
                  <c:v>2.2999999999999998</c:v>
                </c:pt>
                <c:pt idx="10">
                  <c:v>2.4210170214650035</c:v>
                </c:pt>
                <c:pt idx="11">
                  <c:v>2.2999999999999998</c:v>
                </c:pt>
                <c:pt idx="12">
                  <c:v>2.1849999999999996</c:v>
                </c:pt>
                <c:pt idx="13">
                  <c:v>4.2330023974777102</c:v>
                </c:pt>
                <c:pt idx="14">
                  <c:v>2.1849999999999996</c:v>
                </c:pt>
                <c:pt idx="15">
                  <c:v>4.2330023974777102</c:v>
                </c:pt>
                <c:pt idx="16">
                  <c:v>0.84002953992300167</c:v>
                </c:pt>
                <c:pt idx="17">
                  <c:v>0.89</c:v>
                </c:pt>
                <c:pt idx="18">
                  <c:v>0.84002953992300167</c:v>
                </c:pt>
                <c:pt idx="19">
                  <c:v>0.89</c:v>
                </c:pt>
                <c:pt idx="20">
                  <c:v>0.89</c:v>
                </c:pt>
                <c:pt idx="21">
                  <c:v>1.0968795851271043</c:v>
                </c:pt>
                <c:pt idx="22">
                  <c:v>0.89</c:v>
                </c:pt>
                <c:pt idx="23">
                  <c:v>1.0968795851271043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7C-4783-A2D2-973D54629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6668623"/>
        <c:axId val="1892554815"/>
      </c:barChart>
      <c:catAx>
        <c:axId val="2026668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Pathways</a:t>
                </a:r>
              </a:p>
            </c:rich>
          </c:tx>
          <c:layout>
            <c:manualLayout>
              <c:xMode val="edge"/>
              <c:yMode val="edge"/>
              <c:x val="1.8205867320377111E-2"/>
              <c:y val="0.852524521231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2554815"/>
        <c:crosses val="autoZero"/>
        <c:auto val="1"/>
        <c:lblAlgn val="ctr"/>
        <c:lblOffset val="100"/>
        <c:noMultiLvlLbl val="0"/>
      </c:catAx>
      <c:valAx>
        <c:axId val="189255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$/kg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2666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648990105973901"/>
          <c:y val="0.14824685954857703"/>
          <c:w val="0.37121954397667972"/>
          <c:h val="0.232525484765422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Summary of least cost hydrogen pathways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'analysis_hydrogen costs'!$U$63:$W$68</c:f>
              <c:multiLvlStrCache>
                <c:ptCount val="6"/>
                <c:lvl>
                  <c:pt idx="0">
                    <c:v>STG</c:v>
                  </c:pt>
                  <c:pt idx="1">
                    <c:v>STG</c:v>
                  </c:pt>
                  <c:pt idx="2">
                    <c:v>EPG</c:v>
                  </c:pt>
                  <c:pt idx="3">
                    <c:v>SG</c:v>
                  </c:pt>
                  <c:pt idx="4">
                    <c:v>SG</c:v>
                  </c:pt>
                  <c:pt idx="5">
                    <c:v>EG</c:v>
                  </c:pt>
                </c:lvl>
                <c:lvl>
                  <c:pt idx="0">
                    <c:v>Near term (2025-2030)</c:v>
                  </c:pt>
                  <c:pt idx="1">
                    <c:v>Mid term(2030-2040)</c:v>
                  </c:pt>
                  <c:pt idx="2">
                    <c:v>Long term (2040-2050)</c:v>
                  </c:pt>
                  <c:pt idx="3">
                    <c:v>Near term(2025-2030)</c:v>
                  </c:pt>
                  <c:pt idx="4">
                    <c:v>Mid term(2030-2040)</c:v>
                  </c:pt>
                  <c:pt idx="5">
                    <c:v>Long term(2040-2050)</c:v>
                  </c:pt>
                </c:lvl>
                <c:lvl>
                  <c:pt idx="0">
                    <c:v>Urban Refueling station
(1.5 tpd)</c:v>
                  </c:pt>
                  <c:pt idx="3">
                    <c:v>Highway/base Refueling station
(5 tpd)</c:v>
                  </c:pt>
                </c:lvl>
              </c:multiLvlStrCache>
            </c:multiLvlStrRef>
          </c:cat>
          <c:val>
            <c:numRef>
              <c:f>'analysis_hydrogen costs'!$X$63:$X$68</c:f>
              <c:numCache>
                <c:formatCode>_("$"* #,##0.00_);_("$"* \(#,##0.00\);_("$"* "-"??_);_(@_)</c:formatCode>
                <c:ptCount val="6"/>
                <c:pt idx="0">
                  <c:v>9.0879847842073875</c:v>
                </c:pt>
                <c:pt idx="1">
                  <c:v>7.6075776547879421</c:v>
                </c:pt>
                <c:pt idx="2">
                  <c:v>4.0480753680673018</c:v>
                </c:pt>
                <c:pt idx="3">
                  <c:v>5.9710000000000001</c:v>
                </c:pt>
                <c:pt idx="4">
                  <c:v>4.2649999999999997</c:v>
                </c:pt>
                <c:pt idx="5">
                  <c:v>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1-44C4-B1C6-A4576341E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693728"/>
        <c:axId val="305856160"/>
      </c:barChart>
      <c:catAx>
        <c:axId val="21316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5856160"/>
        <c:crosses val="autoZero"/>
        <c:auto val="1"/>
        <c:lblAlgn val="ctr"/>
        <c:lblOffset val="100"/>
        <c:noMultiLvlLbl val="0"/>
      </c:catAx>
      <c:valAx>
        <c:axId val="30585616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3169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121227</xdr:colOff>
      <xdr:row>1</xdr:row>
      <xdr:rowOff>632114</xdr:rowOff>
    </xdr:from>
    <xdr:to>
      <xdr:col>16</xdr:col>
      <xdr:colOff>519545</xdr:colOff>
      <xdr:row>3</xdr:row>
      <xdr:rowOff>103909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8F782E8-DB04-4AAA-B98B-4533D76F8697}"/>
            </a:ext>
          </a:extLst>
        </xdr:cNvPr>
        <xdr:cNvSpPr/>
      </xdr:nvSpPr>
      <xdr:spPr>
        <a:xfrm>
          <a:off x="13343659" y="1039091"/>
          <a:ext cx="398318" cy="4242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200026</xdr:colOff>
      <xdr:row>1</xdr:row>
      <xdr:rowOff>0</xdr:rowOff>
    </xdr:from>
    <xdr:to>
      <xdr:col>25</xdr:col>
      <xdr:colOff>514350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6F6E9-1240-489F-986C-FDC73EDBC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439208</xdr:colOff>
      <xdr:row>58</xdr:row>
      <xdr:rowOff>46567</xdr:rowOff>
    </xdr:from>
    <xdr:to>
      <xdr:col>28</xdr:col>
      <xdr:colOff>31748</xdr:colOff>
      <xdr:row>80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8D335A-8946-439B-8389-116338C22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699558</xdr:colOff>
      <xdr:row>102</xdr:row>
      <xdr:rowOff>177799</xdr:rowOff>
    </xdr:from>
    <xdr:to>
      <xdr:col>25</xdr:col>
      <xdr:colOff>243415</xdr:colOff>
      <xdr:row>124</xdr:row>
      <xdr:rowOff>52917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9E5468-9A15-451C-8A67-F09043617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413809</xdr:colOff>
      <xdr:row>125</xdr:row>
      <xdr:rowOff>53976</xdr:rowOff>
    </xdr:from>
    <xdr:to>
      <xdr:col>24</xdr:col>
      <xdr:colOff>333376</xdr:colOff>
      <xdr:row>145</xdr:row>
      <xdr:rowOff>164042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F0DEEB-7005-42CF-95CD-33CFA3A81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1</xdr:row>
      <xdr:rowOff>0</xdr:rowOff>
    </xdr:from>
    <xdr:to>
      <xdr:col>36</xdr:col>
      <xdr:colOff>457200</xdr:colOff>
      <xdr:row>17</xdr:row>
      <xdr:rowOff>76201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89B180-C370-49AE-BC02-37A1274059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19050</xdr:colOff>
      <xdr:row>39</xdr:row>
      <xdr:rowOff>66675</xdr:rowOff>
    </xdr:from>
    <xdr:to>
      <xdr:col>27</xdr:col>
      <xdr:colOff>333374</xdr:colOff>
      <xdr:row>53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0F9187-DAC5-46F7-8431-57C6E2672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0</xdr:colOff>
      <xdr:row>39</xdr:row>
      <xdr:rowOff>0</xdr:rowOff>
    </xdr:from>
    <xdr:to>
      <xdr:col>40</xdr:col>
      <xdr:colOff>314324</xdr:colOff>
      <xdr:row>52</xdr:row>
      <xdr:rowOff>209550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4905F85-1DE9-4F39-8357-85924581D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259292</xdr:colOff>
      <xdr:row>92</xdr:row>
      <xdr:rowOff>321203</xdr:rowOff>
    </xdr:from>
    <xdr:to>
      <xdr:col>36</xdr:col>
      <xdr:colOff>254000</xdr:colOff>
      <xdr:row>102</xdr:row>
      <xdr:rowOff>116417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47EEC5-89B1-4CF6-BB54-5A156352C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0.15043</cdr:x>
      <cdr:y>0.84859</cdr:y>
    </cdr:from>
    <cdr:to>
      <cdr:x>0.23184</cdr:x>
      <cdr:y>0.9069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6141D7E-1692-428F-8FE0-963FC069C7E5}"/>
            </a:ext>
          </a:extLst>
        </cdr:cNvPr>
        <cdr:cNvSpPr txBox="1"/>
      </cdr:nvSpPr>
      <cdr:spPr>
        <a:xfrm xmlns:a="http://schemas.openxmlformats.org/drawingml/2006/main" rot="10800000" flipV="1">
          <a:off x="1231453" y="4028839"/>
          <a:ext cx="666439" cy="276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 b="1">
              <a:latin typeface="Times New Roman" panose="02020603050405020304" pitchFamily="18" charset="0"/>
              <a:cs typeface="Times New Roman" panose="02020603050405020304" pitchFamily="18" charset="0"/>
            </a:rPr>
            <a:t>32</a:t>
          </a:r>
        </a:p>
      </cdr:txBody>
    </cdr:sp>
  </cdr:relSizeAnchor>
  <cdr:relSizeAnchor xmlns:cdr="http://schemas.openxmlformats.org/drawingml/2006/chartDrawing">
    <cdr:from>
      <cdr:x>0.29342</cdr:x>
      <cdr:y>0.77716</cdr:y>
    </cdr:from>
    <cdr:to>
      <cdr:x>0.37484</cdr:x>
      <cdr:y>0.83547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7B9EC049-A5D3-46FD-BEC9-DC3965965750}"/>
            </a:ext>
          </a:extLst>
        </cdr:cNvPr>
        <cdr:cNvSpPr txBox="1"/>
      </cdr:nvSpPr>
      <cdr:spPr>
        <a:xfrm xmlns:a="http://schemas.openxmlformats.org/drawingml/2006/main" rot="10800000" flipV="1">
          <a:off x="2401999" y="3689701"/>
          <a:ext cx="666521" cy="276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latin typeface="Times New Roman" panose="02020603050405020304" pitchFamily="18" charset="0"/>
              <a:cs typeface="Times New Roman" panose="02020603050405020304" pitchFamily="18" charset="0"/>
            </a:rPr>
            <a:t>357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0.43903</cdr:x>
      <cdr:y>0.59949</cdr:y>
    </cdr:from>
    <cdr:to>
      <cdr:x>0.52045</cdr:x>
      <cdr:y>0.6578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7B9EC049-A5D3-46FD-BEC9-DC3965965750}"/>
            </a:ext>
          </a:extLst>
        </cdr:cNvPr>
        <cdr:cNvSpPr txBox="1"/>
      </cdr:nvSpPr>
      <cdr:spPr>
        <a:xfrm xmlns:a="http://schemas.openxmlformats.org/drawingml/2006/main" rot="10800000" flipV="1">
          <a:off x="3593979" y="2846185"/>
          <a:ext cx="666521" cy="276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latin typeface="Times New Roman" panose="02020603050405020304" pitchFamily="18" charset="0"/>
              <a:cs typeface="Times New Roman" panose="02020603050405020304" pitchFamily="18" charset="0"/>
            </a:rPr>
            <a:t>1078</a:t>
          </a:r>
        </a:p>
      </cdr:txBody>
    </cdr:sp>
  </cdr:relSizeAnchor>
  <cdr:relSizeAnchor xmlns:cdr="http://schemas.openxmlformats.org/drawingml/2006/chartDrawing">
    <cdr:from>
      <cdr:x>0.59056</cdr:x>
      <cdr:y>0.3696</cdr:y>
    </cdr:from>
    <cdr:to>
      <cdr:x>0.67198</cdr:x>
      <cdr:y>0.42791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ABA0A1A-B19F-448C-8701-D2DEC2154ABC}"/>
            </a:ext>
          </a:extLst>
        </cdr:cNvPr>
        <cdr:cNvSpPr txBox="1"/>
      </cdr:nvSpPr>
      <cdr:spPr>
        <a:xfrm xmlns:a="http://schemas.openxmlformats.org/drawingml/2006/main" rot="10800000" flipV="1">
          <a:off x="4834446" y="1754732"/>
          <a:ext cx="666521" cy="2768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latin typeface="Times New Roman" panose="02020603050405020304" pitchFamily="18" charset="0"/>
              <a:cs typeface="Times New Roman" panose="02020603050405020304" pitchFamily="18" charset="0"/>
            </a:rPr>
            <a:t>2203</a:t>
          </a:r>
        </a:p>
      </cdr:txBody>
    </cdr:sp>
  </cdr:relSizeAnchor>
  <cdr:relSizeAnchor xmlns:cdr="http://schemas.openxmlformats.org/drawingml/2006/chartDrawing">
    <cdr:from>
      <cdr:x>0.73148</cdr:x>
      <cdr:y>0.17343</cdr:y>
    </cdr:from>
    <cdr:to>
      <cdr:x>0.8129</cdr:x>
      <cdr:y>0.23174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ABA0A1A-B19F-448C-8701-D2DEC2154ABC}"/>
            </a:ext>
          </a:extLst>
        </cdr:cNvPr>
        <cdr:cNvSpPr txBox="1"/>
      </cdr:nvSpPr>
      <cdr:spPr>
        <a:xfrm xmlns:a="http://schemas.openxmlformats.org/drawingml/2006/main" rot="10800000" flipV="1">
          <a:off x="5988083" y="823399"/>
          <a:ext cx="666521" cy="276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latin typeface="Times New Roman" panose="02020603050405020304" pitchFamily="18" charset="0"/>
              <a:cs typeface="Times New Roman" panose="02020603050405020304" pitchFamily="18" charset="0"/>
            </a:rPr>
            <a:t>3221</a:t>
          </a:r>
        </a:p>
      </cdr:txBody>
    </cdr:sp>
  </cdr:relSizeAnchor>
  <cdr:relSizeAnchor xmlns:cdr="http://schemas.openxmlformats.org/drawingml/2006/chartDrawing">
    <cdr:from>
      <cdr:x>0.88016</cdr:x>
      <cdr:y>0.02407</cdr:y>
    </cdr:from>
    <cdr:to>
      <cdr:x>0.96158</cdr:x>
      <cdr:y>0.08238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ABA0A1A-B19F-448C-8701-D2DEC2154ABC}"/>
            </a:ext>
          </a:extLst>
        </cdr:cNvPr>
        <cdr:cNvSpPr txBox="1"/>
      </cdr:nvSpPr>
      <cdr:spPr>
        <a:xfrm xmlns:a="http://schemas.openxmlformats.org/drawingml/2006/main" rot="10800000" flipV="1">
          <a:off x="7205148" y="114281"/>
          <a:ext cx="666521" cy="276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1">
              <a:latin typeface="Times New Roman" panose="02020603050405020304" pitchFamily="18" charset="0"/>
              <a:cs typeface="Times New Roman" panose="02020603050405020304" pitchFamily="18" charset="0"/>
            </a:rPr>
            <a:t>3902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455084</xdr:colOff>
      <xdr:row>63</xdr:row>
      <xdr:rowOff>120650</xdr:rowOff>
    </xdr:from>
    <xdr:to>
      <xdr:col>15</xdr:col>
      <xdr:colOff>202406</xdr:colOff>
      <xdr:row>79</xdr:row>
      <xdr:rowOff>202406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AF77A-4FFF-4F0D-B3B2-B1EF363D9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0</xdr:colOff>
      <xdr:row>3</xdr:row>
      <xdr:rowOff>0</xdr:rowOff>
    </xdr:from>
    <xdr:to>
      <xdr:col>45</xdr:col>
      <xdr:colOff>486833</xdr:colOff>
      <xdr:row>16</xdr:row>
      <xdr:rowOff>154516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60F37A-2E2D-4CA4-85BC-ACFC46D1B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0</xdr:colOff>
      <xdr:row>3</xdr:row>
      <xdr:rowOff>0</xdr:rowOff>
    </xdr:from>
    <xdr:to>
      <xdr:col>58</xdr:col>
      <xdr:colOff>369093</xdr:colOff>
      <xdr:row>16</xdr:row>
      <xdr:rowOff>107156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AD0F983-3A7E-457D-876E-63618A8CF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373061</xdr:colOff>
      <xdr:row>3</xdr:row>
      <xdr:rowOff>79375</xdr:rowOff>
    </xdr:from>
    <xdr:to>
      <xdr:col>24</xdr:col>
      <xdr:colOff>30427</xdr:colOff>
      <xdr:row>16</xdr:row>
      <xdr:rowOff>364860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F1A15F-F42C-443A-8377-650ACC4A1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527843</xdr:colOff>
      <xdr:row>39</xdr:row>
      <xdr:rowOff>47626</xdr:rowOff>
    </xdr:from>
    <xdr:to>
      <xdr:col>26</xdr:col>
      <xdr:colOff>394228</xdr:colOff>
      <xdr:row>53</xdr:row>
      <xdr:rowOff>83343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E65EDE6-E51E-4183-A9AC-5B83DF4A9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571499</xdr:colOff>
      <xdr:row>72</xdr:row>
      <xdr:rowOff>158749</xdr:rowOff>
    </xdr:from>
    <xdr:to>
      <xdr:col>36</xdr:col>
      <xdr:colOff>285750</xdr:colOff>
      <xdr:row>95</xdr:row>
      <xdr:rowOff>111124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7F5E41-9FA6-4F16-AEFB-A8022AFED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722313</xdr:colOff>
      <xdr:row>9</xdr:row>
      <xdr:rowOff>134937</xdr:rowOff>
    </xdr:from>
    <xdr:to>
      <xdr:col>23</xdr:col>
      <xdr:colOff>923967</xdr:colOff>
      <xdr:row>12</xdr:row>
      <xdr:rowOff>23700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D561D99-E4B1-4F10-AB51-7D70AE28FBAB}"/>
            </a:ext>
          </a:extLst>
        </xdr:cNvPr>
        <xdr:cNvSpPr/>
      </xdr:nvSpPr>
      <xdr:spPr>
        <a:xfrm>
          <a:off x="18343563" y="3159125"/>
          <a:ext cx="201654" cy="484075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25</xdr:col>
      <xdr:colOff>412751</xdr:colOff>
      <xdr:row>45</xdr:row>
      <xdr:rowOff>182562</xdr:rowOff>
    </xdr:from>
    <xdr:to>
      <xdr:col>26</xdr:col>
      <xdr:colOff>31752</xdr:colOff>
      <xdr:row>48</xdr:row>
      <xdr:rowOff>95137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AD7176C0-C1BA-4E7E-B12E-8982E1C5F2A7}"/>
            </a:ext>
          </a:extLst>
        </xdr:cNvPr>
        <xdr:cNvSpPr/>
      </xdr:nvSpPr>
      <xdr:spPr>
        <a:xfrm>
          <a:off x="19804064" y="12922250"/>
          <a:ext cx="230188" cy="484075"/>
        </a:xfrm>
        <a:prstGeom prst="round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0.91866</cdr:x>
      <cdr:y>0.47888</cdr:y>
    </cdr:from>
    <cdr:to>
      <cdr:x>0.99373</cdr:x>
      <cdr:y>0.54347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BBC6FE-1366-44F5-9BDE-A0CC30F7844C}"/>
            </a:ext>
          </a:extLst>
        </cdr:cNvPr>
        <cdr:cNvSpPr txBox="1"/>
      </cdr:nvSpPr>
      <cdr:spPr>
        <a:xfrm xmlns:a="http://schemas.openxmlformats.org/drawingml/2006/main">
          <a:off x="6977064" y="1706562"/>
          <a:ext cx="570177" cy="230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$ 4.05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0.89016</cdr:x>
      <cdr:y>0.52325</cdr:y>
    </cdr:from>
    <cdr:to>
      <cdr:x>0.97005</cdr:x>
      <cdr:y>0.58969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C0691C-808B-4725-923F-C51CC7A51A05}"/>
            </a:ext>
          </a:extLst>
        </cdr:cNvPr>
        <cdr:cNvSpPr txBox="1"/>
      </cdr:nvSpPr>
      <cdr:spPr>
        <a:xfrm xmlns:a="http://schemas.openxmlformats.org/drawingml/2006/main">
          <a:off x="6353175" y="1812925"/>
          <a:ext cx="570177" cy="2301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/>
            <a:t>$ 2.69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shal/Hydrogen%20Scenarios%2025May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Natural_Gas_Delivered_Industrial_Pacifi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ta/Electricity_End-Use_Prices_Industrial%20(1)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/Users/vfoor/Desktop/HYDROGEN%20SCEANRIO%20STUDY%20WITH%20LEW/HDSAM/1.5ton%20refueliing%20station/100%20utilization%20factor%20and%2011cents%20electricity/with%20different%20electricity%20rates%20for%20low%20high%20mid%20scenario/gas_h2_tubetr_low_10cent.xls?7EC68C95" TargetMode="External"/><Relationship Id="rId1" Type="http://schemas.openxmlformats.org/officeDocument/2006/relationships/externalLinkPath" Target="file:///\\7EC68C95\gas_h2_tubetr_low_10cen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1.5ton%20refueliing%20station/100%20utilization%20factor%20and%2011cents%20electricity/gas_h2_pipe_low_10ce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1.5ton%20refueliing%20station/100%20utilization%20factor%20and%2011cents%20electricity/with%20different%20electricity%20rates%20for%20low%20high%20mid%20scenario/100%25_liqh2_low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microsoft.com/office/2019/04/relationships/externalLinkLongPath" Target="/Users/vfoor/Desktop/HYDROGEN%20SCEANRIO%20STUDY%20WITH%20LEW/HDSAM/1.5ton%20refueliing%20station/100%20utilization%20factor%20and%2011cents%20electricity/with%20different%20electricity%20rates%20for%20low%20high%20mid%20scenario/gas_h2_pipe_low_10cent.xls?7EC68C95" TargetMode="External"/><Relationship Id="rId1" Type="http://schemas.openxmlformats.org/officeDocument/2006/relationships/externalLinkPath" Target="file:///\\7EC68C95\gas_h2_pipe_low_10cent.xls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microsoft.com/office/2019/04/relationships/externalLinkLongPath" Target="/Users/vfoor/Desktop/HYDROGEN%20SCEANRIO%20STUDY%20WITH%20LEW/HDSAM/1.5ton%20refueliing%20station/100%20utilization%20factor%20and%2011cents%20electricity/with%20different%20electricity%20rates%20for%20low%20high%20mid%20scenario/gas_h2_tubetr_mid_6cent.xls?7EC68C95" TargetMode="External"/><Relationship Id="rId1" Type="http://schemas.openxmlformats.org/officeDocument/2006/relationships/externalLinkPath" Target="file:///\\7EC68C95\gas_h2_tubetr_mid_6cent.xls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microsoft.com/office/2019/04/relationships/externalLinkLongPath" Target="/Users/vfoor/Desktop/HYDROGEN%20SCEANRIO%20STUDY%20WITH%20LEW/HDSAM/1.5ton%20refueliing%20station/100%20utilization%20factor%20and%2011cents%20electricity/with%20different%20electricity%20rates%20for%20low%20high%20mid%20scenario/gas_h2_pipe_mid_6cent.xls?7EC68C95" TargetMode="External"/><Relationship Id="rId1" Type="http://schemas.openxmlformats.org/officeDocument/2006/relationships/externalLinkPath" Target="file:///\\7EC68C95\gas_h2_pipe_mid_6c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1.5ton%20refueliing%20station/100%20utilization%20factor%20and%2011cents%20electricity/with%20different%20electricity%20rates%20for%20low%20high%20mid%20scenario/100%25_liqh2_mid.xls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microsoft.com/office/2019/04/relationships/externalLinkLongPath" Target="/Users/vfoor/Desktop/HYDROGEN%20SCEANRIO%20STUDY%20WITH%20LEW/HDSAM/1.5ton%20refueliing%20station/100%20utilization%20factor%20and%2011cents%20electricity/with%20different%20electricity%20rates%20for%20low%20high%20mid%20scenario/gas_h2_tubetr_high_2cent.xls?7EC68C95" TargetMode="External"/><Relationship Id="rId1" Type="http://schemas.openxmlformats.org/officeDocument/2006/relationships/externalLinkPath" Target="file:///\\7EC68C95\gas_h2_tubetr_high_2cent.xls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microsoft.com/office/2019/04/relationships/externalLinkLongPath" Target="/Users/vfoor/Desktop/HYDROGEN%20SCEANRIO%20STUDY%20WITH%20LEW/HDSAM/1.5ton%20refueliing%20station/100%20utilization%20factor%20and%2011cents%20electricity/with%20different%20electricity%20rates%20for%20low%20high%20mid%20scenario/gas_h2_pipe_high_2cent.xls?7EC68C95" TargetMode="External"/><Relationship Id="rId1" Type="http://schemas.openxmlformats.org/officeDocument/2006/relationships/externalLinkPath" Target="file:///\\7EC68C95\gas_h2_pipe_high_2cen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1.5ton%20refueliing%20station/100%20utilization%20factor%20and%2011cents%20electricity/with%20different%20electricity%20rates%20for%20low%20high%20mid%20scenario/100%25_liqh2_high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5%20ton%20refuelling%20station/gas_pipe_low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5%20ton%20refuelling%20station/liq_h2_low_10cents%20for%20liquefier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liqh2_low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SMR/future-distributed-natural-gas-v3-5ton_low_06.29.2020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ELECTROLYSIS/future-distributed-pem-electrolysis-2019-v3-2018_5ton_low_06.29.20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5%20ton%20refuelling%20station/gas_pipe_mi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5%20ton%20refuelling%20station/liq_h2_mid_6cents%20for%20liquefie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liq_h2_mid.xlsm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SMR/future-distributed-natural-gas-v3-5ton_mid_06.30.2020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ELECTROLYSIS/future-distributed-pem-electrolysis-2019-v3-2018_5ton_mid_06.29.20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5%20ton%20refuelling%20station/gas_pipe_high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SAM/5%20ton%20refuelling%20station/liq_h2_high_2cents%20for%20liquefi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liq_h2_high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SMR/future-distributed-natural-gas-v3-5ton_high_06.30.2020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ELECTROLYSIS/future-distributed-pem-electrolysis-2019-v3-2018_5ton_high_06.29.20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marshal/Hydrogen%20Scenarios%2025march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2045%20Results_vmt_fe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SMR/future-central-natural-gas-with-co2-sequestration-v30ton_high_06.30.2020.xlsm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ELECTROLYSIS/future-central-pem-electrolysis-2019-30ton_high_06.29.2020.xlsm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SMR/future-central-natural-gas-with-co2-sequestration-v30ton_low_06.30.2020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ELECTROLYSIS/future-central-pem-electrolysis-2019-30ton_low_06.29.2020.xlsm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SMR/future-central-natural-gas-with-co2-sequestration-v30ton_mid_06.30.2020.xlsm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ELECTROLYSIS/future-central-pem-electrolysis-2019-30ton_mid_06.29.2020.xlsm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liq%20h2%20low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gas%20h2.tube%20trailer%20low.xlsm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gas%20h2_pipe_low.xlsm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gas.h2.tubetrailer_low.xlsm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gas_h2_pipe_low.xlsm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liq%20h2%20mid.xlsm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gas%20h2.tube%20trailer%20mid.xlsm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gas%20h2_pipe_mid.xlsm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gas.h2.tubetrailer.mid.xlsm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gas_h2_pipe_mid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liq%20h2%20high.xlsm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gas%20h2.tube%20trailer.high.xlsm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TRB%20paper/HRSAM%20for%20finding%20refuelling%20station%20costs%20for%201.5tonn%20per%20day%20stattion07.30.2020/gas%20h2_pipe_high.xlsm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gas.h2.tubetrailer.high.xlsm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DRSAM/gas_h2_pipe_high.xlsm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oor/Desktop/HYDROGEN%20SCEANRIO%20STUDY%20WITH%20LEW/H2A/system%20parameters%20and%20assum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Economy"/>
      <sheetName val="H2 demand, stock"/>
      <sheetName val="LC1 LDV Sales"/>
      <sheetName val="LC1 LDV stock"/>
      <sheetName val="LC1 LDV VMT"/>
      <sheetName val="LC1 LDV Fuel Use"/>
      <sheetName val="LC1 H2 Truck stock"/>
      <sheetName val="LD1 H2 Truck VMT"/>
      <sheetName val="LC1 H2 Truck Fuel Use"/>
      <sheetName val="LC1 H2 Truck Sales"/>
      <sheetName val="High ZEV LDV Sales"/>
      <sheetName val="High ZEV LDV stock"/>
      <sheetName val="High ZEV LDV VMT"/>
      <sheetName val="High ZEV LDV Fuel Use"/>
      <sheetName val="High ZEV H2 Truck stock"/>
      <sheetName val="High ZEV H2 Truck VMT"/>
      <sheetName val="HIGH ZEV H2 Truck Fuel Use"/>
      <sheetName val="High ZEV H2 Truck Sales"/>
      <sheetName val="Sales Shares"/>
      <sheetName val="LDV FCEV SSF"/>
      <sheetName val="SS figures"/>
      <sheetName val="LDV scenarios"/>
      <sheetName val="LDV scen details"/>
      <sheetName val="Figures"/>
      <sheetName val="Stations"/>
      <sheetName val="Station requirements"/>
      <sheetName val="Demand factors"/>
      <sheetName val="ACT schedule"/>
    </sheetNames>
    <sheetDataSet>
      <sheetData sheetId="0"/>
      <sheetData sheetId="1"/>
      <sheetData sheetId="2"/>
      <sheetData sheetId="3"/>
      <sheetData sheetId="4"/>
      <sheetData sheetId="5">
        <row r="6">
          <cell r="H6">
            <v>1.7043224042183409</v>
          </cell>
        </row>
      </sheetData>
      <sheetData sheetId="6"/>
      <sheetData sheetId="7"/>
      <sheetData sheetId="8">
        <row r="6">
          <cell r="I6">
            <v>1.7409641930168439E-18</v>
          </cell>
        </row>
      </sheetData>
      <sheetData sheetId="9"/>
      <sheetData sheetId="10"/>
      <sheetData sheetId="11"/>
      <sheetData sheetId="12"/>
      <sheetData sheetId="13">
        <row r="6">
          <cell r="H6">
            <v>1.7043224042183409</v>
          </cell>
          <cell r="R6">
            <v>0</v>
          </cell>
        </row>
        <row r="7">
          <cell r="H7">
            <v>2.7070033528252524</v>
          </cell>
          <cell r="R7">
            <v>0.65934691708527615</v>
          </cell>
        </row>
        <row r="8">
          <cell r="H8">
            <v>4.1236588964715546</v>
          </cell>
          <cell r="R8">
            <v>1.9471712500736165</v>
          </cell>
        </row>
        <row r="9">
          <cell r="H9">
            <v>5.9479427682489519</v>
          </cell>
          <cell r="R9">
            <v>3.8323995044887953</v>
          </cell>
        </row>
        <row r="10">
          <cell r="H10">
            <v>8.1335576403701921</v>
          </cell>
          <cell r="R10">
            <v>6.2954795069352567</v>
          </cell>
        </row>
        <row r="11">
          <cell r="H11">
            <v>10.712537160833442</v>
          </cell>
          <cell r="R11">
            <v>9.3697001726140137</v>
          </cell>
        </row>
        <row r="12">
          <cell r="H12">
            <v>19.139637071689812</v>
          </cell>
          <cell r="R12">
            <v>19.077140845575233</v>
          </cell>
        </row>
        <row r="13">
          <cell r="H13">
            <v>32.716880602501227</v>
          </cell>
          <cell r="R13">
            <v>34.721493389063468</v>
          </cell>
        </row>
        <row r="14">
          <cell r="H14">
            <v>50.795520500442024</v>
          </cell>
          <cell r="R14">
            <v>55.759660756009033</v>
          </cell>
        </row>
        <row r="15">
          <cell r="H15">
            <v>72.911833636307804</v>
          </cell>
          <cell r="R15">
            <v>81.780237641896861</v>
          </cell>
        </row>
        <row r="16">
          <cell r="H16">
            <v>98.69857527724777</v>
          </cell>
          <cell r="R16">
            <v>112.38650085089509</v>
          </cell>
        </row>
        <row r="17">
          <cell r="H17">
            <v>128.59079368978655</v>
          </cell>
          <cell r="R17">
            <v>148.02212260319837</v>
          </cell>
        </row>
        <row r="18">
          <cell r="H18">
            <v>162.2029988812271</v>
          </cell>
          <cell r="R18">
            <v>188.37194359565765</v>
          </cell>
        </row>
        <row r="19">
          <cell r="H19">
            <v>199.21910778152315</v>
          </cell>
          <cell r="R19">
            <v>233.17172444196802</v>
          </cell>
        </row>
        <row r="20">
          <cell r="H20">
            <v>239.33007599283786</v>
          </cell>
          <cell r="R20">
            <v>282.15523908174652</v>
          </cell>
        </row>
        <row r="21">
          <cell r="H21">
            <v>281.66338591320664</v>
          </cell>
          <cell r="R21">
            <v>334.36212574096646</v>
          </cell>
        </row>
        <row r="22">
          <cell r="H22">
            <v>332.25733510411249</v>
          </cell>
          <cell r="R22">
            <v>396.86395777010512</v>
          </cell>
        </row>
        <row r="23">
          <cell r="H23">
            <v>391.19679178105849</v>
          </cell>
          <cell r="R23">
            <v>469.98989284021042</v>
          </cell>
        </row>
        <row r="24">
          <cell r="H24">
            <v>456.80862171056742</v>
          </cell>
          <cell r="R24">
            <v>551.93656849790159</v>
          </cell>
        </row>
        <row r="25">
          <cell r="H25">
            <v>528.41883515768916</v>
          </cell>
          <cell r="R25">
            <v>642.03788905049532</v>
          </cell>
        </row>
        <row r="26">
          <cell r="H26">
            <v>605.45966901740189</v>
          </cell>
          <cell r="R26">
            <v>739.64154792206966</v>
          </cell>
        </row>
        <row r="27">
          <cell r="H27">
            <v>675.99858146786846</v>
          </cell>
          <cell r="R27">
            <v>830.85496447569585</v>
          </cell>
        </row>
        <row r="28">
          <cell r="H28">
            <v>741.06717634628774</v>
          </cell>
          <cell r="R28">
            <v>916.78384301371216</v>
          </cell>
        </row>
        <row r="29">
          <cell r="H29">
            <v>801.28870725552667</v>
          </cell>
          <cell r="R29">
            <v>998.08613110794363</v>
          </cell>
        </row>
        <row r="30">
          <cell r="H30">
            <v>856.92517271950305</v>
          </cell>
          <cell r="R30">
            <v>1075.0511265318737</v>
          </cell>
        </row>
        <row r="31">
          <cell r="H31">
            <v>908.11602292391262</v>
          </cell>
          <cell r="R31">
            <v>1147.9747036001934</v>
          </cell>
        </row>
        <row r="32">
          <cell r="H32">
            <v>955.6485281433396</v>
          </cell>
          <cell r="R32">
            <v>1217.6100288506852</v>
          </cell>
        </row>
        <row r="33">
          <cell r="H33">
            <v>999.64120325109786</v>
          </cell>
          <cell r="R33">
            <v>1283.8763723013326</v>
          </cell>
        </row>
        <row r="34">
          <cell r="H34">
            <v>1040.2030040495601</v>
          </cell>
          <cell r="R34">
            <v>1346.7724162516495</v>
          </cell>
        </row>
        <row r="35">
          <cell r="H35">
            <v>1077.495483012063</v>
          </cell>
          <cell r="R35">
            <v>1406.3517927298578</v>
          </cell>
        </row>
        <row r="36">
          <cell r="H36">
            <v>1111.4693896433052</v>
          </cell>
          <cell r="R36">
            <v>1462.0963940383294</v>
          </cell>
        </row>
      </sheetData>
      <sheetData sheetId="14"/>
      <sheetData sheetId="15"/>
      <sheetData sheetId="16">
        <row r="6">
          <cell r="I6">
            <v>1.7409641930168439E-18</v>
          </cell>
          <cell r="T6">
            <v>5.696548377493809E-9</v>
          </cell>
          <cell r="AE6">
            <v>2.9973698118213492E-5</v>
          </cell>
          <cell r="AP6">
            <v>1.1054371459925591E-2</v>
          </cell>
          <cell r="BA6">
            <v>1.7219143412509622E-10</v>
          </cell>
          <cell r="BL6">
            <v>2.3176419661680292E-15</v>
          </cell>
          <cell r="BW6">
            <v>5.5100834960871996E-8</v>
          </cell>
          <cell r="CH6">
            <v>0</v>
          </cell>
        </row>
        <row r="7">
          <cell r="I7">
            <v>0.69264106972843698</v>
          </cell>
          <cell r="T7">
            <v>6.6517742162759602E-2</v>
          </cell>
          <cell r="AE7">
            <v>3.7063143573829557E-5</v>
          </cell>
          <cell r="AP7">
            <v>0.1444920671545592</v>
          </cell>
          <cell r="BA7">
            <v>2.1478339631048514E-10</v>
          </cell>
          <cell r="BL7">
            <v>2.4538642261568847E-15</v>
          </cell>
          <cell r="BW7">
            <v>6.8384587214574513E-8</v>
          </cell>
          <cell r="CH7">
            <v>0</v>
          </cell>
        </row>
        <row r="8">
          <cell r="I8">
            <v>2.0213641090711865</v>
          </cell>
          <cell r="T8">
            <v>0.19512433729122125</v>
          </cell>
          <cell r="AE8">
            <v>4.1355054553481517E-5</v>
          </cell>
          <cell r="AP8">
            <v>0.40023596270947881</v>
          </cell>
          <cell r="BA8">
            <v>2.4347334355196321E-10</v>
          </cell>
          <cell r="BL8">
            <v>2.5097119962358492E-15</v>
          </cell>
          <cell r="BW8">
            <v>7.7090039747165109E-8</v>
          </cell>
          <cell r="CH8">
            <v>0</v>
          </cell>
        </row>
        <row r="9">
          <cell r="I9">
            <v>3.9301722858877217</v>
          </cell>
          <cell r="T9">
            <v>0.38314325814539879</v>
          </cell>
          <cell r="AE9">
            <v>4.2936710735212224E-5</v>
          </cell>
          <cell r="AP9">
            <v>0.80336266739491047</v>
          </cell>
          <cell r="BA9">
            <v>2.5800211475754023E-10</v>
          </cell>
          <cell r="BL9">
            <v>2.4940355637568761E-15</v>
          </cell>
          <cell r="BW9">
            <v>8.1344485324922477E-8</v>
          </cell>
          <cell r="CH9">
            <v>0</v>
          </cell>
        </row>
        <row r="10">
          <cell r="I10">
            <v>6.3151586180354586</v>
          </cell>
          <cell r="T10">
            <v>0.62036877296884685</v>
          </cell>
          <cell r="AE10">
            <v>4.1911488485998171E-5</v>
          </cell>
          <cell r="AP10">
            <v>1.338502191160323</v>
          </cell>
          <cell r="BA10">
            <v>2.5760524183003934E-10</v>
          </cell>
          <cell r="BL10">
            <v>2.4120877420248988E-15</v>
          </cell>
          <cell r="BW10">
            <v>8.1410645303231478E-8</v>
          </cell>
          <cell r="CH10">
            <v>0</v>
          </cell>
        </row>
        <row r="11">
          <cell r="I11">
            <v>9.0896545092712255</v>
          </cell>
          <cell r="T11">
            <v>0.90312811592406417</v>
          </cell>
          <cell r="AE11">
            <v>3.8486344863274606E-5</v>
          </cell>
          <cell r="AP11">
            <v>1.9969361553249039</v>
          </cell>
          <cell r="BA11">
            <v>2.4361074720122962E-10</v>
          </cell>
          <cell r="BL11">
            <v>2.2693865309827197E-15</v>
          </cell>
          <cell r="BW11">
            <v>7.7630661494475127E-8</v>
          </cell>
          <cell r="CH11">
            <v>0</v>
          </cell>
        </row>
        <row r="12">
          <cell r="I12">
            <v>17.749783958437362</v>
          </cell>
          <cell r="T12">
            <v>1.5322419844274411</v>
          </cell>
          <cell r="AE12">
            <v>0.68917614834343066</v>
          </cell>
          <cell r="AP12">
            <v>2.7592709722975917</v>
          </cell>
          <cell r="BA12">
            <v>5.8654790785916518E-2</v>
          </cell>
          <cell r="BL12">
            <v>0.25548512292450459</v>
          </cell>
          <cell r="BW12">
            <v>1.3699286839846463E-2</v>
          </cell>
          <cell r="CH12">
            <v>0.86670867265009111</v>
          </cell>
        </row>
        <row r="13">
          <cell r="I13">
            <v>32.133980964585099</v>
          </cell>
          <cell r="T13">
            <v>2.5063514029815872</v>
          </cell>
          <cell r="AE13">
            <v>2.07544280139297</v>
          </cell>
          <cell r="AP13">
            <v>3.6216079100007588</v>
          </cell>
          <cell r="BA13">
            <v>0.17592957234543719</v>
          </cell>
          <cell r="BL13">
            <v>0.76260859545622539</v>
          </cell>
          <cell r="BW13">
            <v>4.0972498787429208E-2</v>
          </cell>
          <cell r="CH13">
            <v>2.5600347823447396</v>
          </cell>
        </row>
        <row r="14">
          <cell r="I14">
            <v>51.989270504521755</v>
          </cell>
          <cell r="T14">
            <v>3.8284890467882788</v>
          </cell>
          <cell r="AE14">
            <v>4.1395653897633409</v>
          </cell>
          <cell r="AP14">
            <v>4.5960086313676305</v>
          </cell>
          <cell r="BA14">
            <v>0.35146186532346979</v>
          </cell>
          <cell r="BL14">
            <v>1.5143641150749612</v>
          </cell>
          <cell r="BW14">
            <v>8.1531660873095296E-2</v>
          </cell>
          <cell r="CH14">
            <v>4.957311647734608</v>
          </cell>
        </row>
        <row r="15">
          <cell r="I15">
            <v>76.670922296519592</v>
          </cell>
          <cell r="T15">
            <v>5.4637432549664524</v>
          </cell>
          <cell r="AE15">
            <v>6.859708321539677</v>
          </cell>
          <cell r="AP15">
            <v>5.6840036792823243</v>
          </cell>
          <cell r="BA15">
            <v>0.58596624966234212</v>
          </cell>
          <cell r="BL15">
            <v>2.5115768241443428</v>
          </cell>
          <cell r="BW15">
            <v>0.13483895862725989</v>
          </cell>
          <cell r="CH15">
            <v>7.9606048620406149</v>
          </cell>
        </row>
        <row r="16">
          <cell r="I16">
            <v>105.61095400238541</v>
          </cell>
          <cell r="T16">
            <v>7.403501750907421</v>
          </cell>
          <cell r="AE16">
            <v>10.197753068367312</v>
          </cell>
          <cell r="AP16">
            <v>6.8804426213333345</v>
          </cell>
          <cell r="BA16">
            <v>0.87587952466572128</v>
          </cell>
          <cell r="BL16">
            <v>3.7398946941172255</v>
          </cell>
          <cell r="BW16">
            <v>0.20014668519989562</v>
          </cell>
          <cell r="CH16">
            <v>11.488019114200268</v>
          </cell>
        </row>
        <row r="17">
          <cell r="I17">
            <v>139.77802464404624</v>
          </cell>
          <cell r="T17">
            <v>9.5162665458918045</v>
          </cell>
          <cell r="AE17">
            <v>14.814130748424356</v>
          </cell>
          <cell r="AP17">
            <v>8.1838790885293946</v>
          </cell>
          <cell r="BA17">
            <v>1.2893151531039289</v>
          </cell>
          <cell r="BL17">
            <v>5.4271500587957924</v>
          </cell>
          <cell r="BW17">
            <v>0.30394384838747518</v>
          </cell>
          <cell r="CH17">
            <v>16.067559485460237</v>
          </cell>
        </row>
        <row r="18">
          <cell r="I18">
            <v>178.83002314412431</v>
          </cell>
          <cell r="T18">
            <v>11.80601824343627</v>
          </cell>
          <cell r="AE18">
            <v>20.662622218722703</v>
          </cell>
          <cell r="AP18">
            <v>9.5808173324556734</v>
          </cell>
          <cell r="BA18">
            <v>1.8218123400753889</v>
          </cell>
          <cell r="BL18">
            <v>7.5482165215005672</v>
          </cell>
          <cell r="BW18">
            <v>0.4455108790288887</v>
          </cell>
          <cell r="CH18">
            <v>21.643845704305161</v>
          </cell>
        </row>
        <row r="19">
          <cell r="I19">
            <v>222.04131662494694</v>
          </cell>
          <cell r="T19">
            <v>14.267215702464416</v>
          </cell>
          <cell r="AE19">
            <v>27.672157369220283</v>
          </cell>
          <cell r="AP19">
            <v>11.076813740194151</v>
          </cell>
          <cell r="BA19">
            <v>2.4676889246504334</v>
          </cell>
          <cell r="BL19">
            <v>10.073246199656685</v>
          </cell>
          <cell r="BW19">
            <v>0.62348428895191388</v>
          </cell>
          <cell r="CH19">
            <v>28.103864265363885</v>
          </cell>
        </row>
        <row r="20">
          <cell r="I20">
            <v>268.8585716012164</v>
          </cell>
          <cell r="T20">
            <v>16.897749722834266</v>
          </cell>
          <cell r="AE20">
            <v>35.773710570467784</v>
          </cell>
          <cell r="AP20">
            <v>12.661527152931949</v>
          </cell>
          <cell r="BA20">
            <v>3.22252006946341</v>
          </cell>
          <cell r="BL20">
            <v>12.983490525857464</v>
          </cell>
          <cell r="BW20">
            <v>0.83609089300368722</v>
          </cell>
          <cell r="CH20">
            <v>35.351065096378967</v>
          </cell>
        </row>
        <row r="21">
          <cell r="I21">
            <v>318.76102033836611</v>
          </cell>
          <cell r="T21">
            <v>19.683166032230112</v>
          </cell>
          <cell r="AE21">
            <v>44.885854646214952</v>
          </cell>
          <cell r="AP21">
            <v>14.313509877509052</v>
          </cell>
          <cell r="BA21">
            <v>4.0787546690632297</v>
          </cell>
          <cell r="BL21">
            <v>16.254094442684007</v>
          </cell>
          <cell r="BW21">
            <v>1.0811009794830093</v>
          </cell>
          <cell r="CH21">
            <v>43.303859874584589</v>
          </cell>
        </row>
        <row r="22">
          <cell r="I22">
            <v>369.02658636937457</v>
          </cell>
          <cell r="T22">
            <v>22.554627391663157</v>
          </cell>
          <cell r="AE22">
            <v>54.917148153381461</v>
          </cell>
          <cell r="AP22">
            <v>16.076924301554357</v>
          </cell>
          <cell r="BA22">
            <v>5.0065467892739122</v>
          </cell>
          <cell r="BL22">
            <v>19.856811040650609</v>
          </cell>
          <cell r="BW22">
            <v>1.3299957418053456</v>
          </cell>
          <cell r="CH22">
            <v>51.110179984401938</v>
          </cell>
        </row>
        <row r="23">
          <cell r="I23">
            <v>419.34541786468662</v>
          </cell>
          <cell r="T23">
            <v>25.500565255066078</v>
          </cell>
          <cell r="AE23">
            <v>65.784018909851085</v>
          </cell>
          <cell r="AP23">
            <v>17.943646557039465</v>
          </cell>
          <cell r="BA23">
            <v>5.9965751230230273</v>
          </cell>
          <cell r="BL23">
            <v>23.762474152132015</v>
          </cell>
          <cell r="BW23">
            <v>1.5809230980236149</v>
          </cell>
          <cell r="CH23">
            <v>58.708744356067783</v>
          </cell>
        </row>
        <row r="24">
          <cell r="I24">
            <v>469.32867009806768</v>
          </cell>
          <cell r="T24">
            <v>28.50076788016673</v>
          </cell>
          <cell r="AE24">
            <v>77.406044487383909</v>
          </cell>
          <cell r="AP24">
            <v>19.934094453235641</v>
          </cell>
          <cell r="BA24">
            <v>7.0401121469016754</v>
          </cell>
          <cell r="BL24">
            <v>27.940206314659754</v>
          </cell>
          <cell r="BW24">
            <v>1.8318167308234821</v>
          </cell>
          <cell r="CH24">
            <v>66.116226842773742</v>
          </cell>
        </row>
        <row r="25">
          <cell r="I25">
            <v>518.86501056967484</v>
          </cell>
          <cell r="T25">
            <v>31.539809892426945</v>
          </cell>
          <cell r="AE25">
            <v>89.710785929343729</v>
          </cell>
          <cell r="AP25">
            <v>22.045513884256764</v>
          </cell>
          <cell r="BA25">
            <v>8.1264297371349397</v>
          </cell>
          <cell r="BL25">
            <v>32.361177790090494</v>
          </cell>
          <cell r="BW25">
            <v>2.0813735412313306</v>
          </cell>
          <cell r="CH25">
            <v>73.337967936874179</v>
          </cell>
        </row>
        <row r="26">
          <cell r="I26">
            <v>567.82525002773491</v>
          </cell>
          <cell r="T26">
            <v>34.592555620111519</v>
          </cell>
          <cell r="AE26">
            <v>102.62714568564661</v>
          </cell>
          <cell r="AP26">
            <v>24.271685432859677</v>
          </cell>
          <cell r="BA26">
            <v>9.2501612368947228</v>
          </cell>
          <cell r="BL26">
            <v>37.000048141663548</v>
          </cell>
          <cell r="BW26">
            <v>2.328473652698948</v>
          </cell>
          <cell r="CH26">
            <v>80.371872740153805</v>
          </cell>
        </row>
        <row r="27">
          <cell r="I27">
            <v>612.42768646570778</v>
          </cell>
          <cell r="T27">
            <v>37.693015951148134</v>
          </cell>
          <cell r="AE27">
            <v>114.59925725705065</v>
          </cell>
          <cell r="AP27">
            <v>26.392396873965566</v>
          </cell>
          <cell r="BA27">
            <v>10.299626658555864</v>
          </cell>
          <cell r="BL27">
            <v>41.366115220896141</v>
          </cell>
          <cell r="BW27">
            <v>2.5588171409440372</v>
          </cell>
          <cell r="CH27">
            <v>86.708313743752299</v>
          </cell>
        </row>
        <row r="28">
          <cell r="I28">
            <v>652.66570672375087</v>
          </cell>
          <cell r="T28">
            <v>40.837846638197838</v>
          </cell>
          <cell r="AE28">
            <v>125.57233347433392</v>
          </cell>
          <cell r="AP28">
            <v>28.404253075009276</v>
          </cell>
          <cell r="BA28">
            <v>11.270024564957126</v>
          </cell>
          <cell r="BL28">
            <v>45.447102007830047</v>
          </cell>
          <cell r="BW28">
            <v>2.7716868291451369</v>
          </cell>
          <cell r="CH28">
            <v>92.355659808875345</v>
          </cell>
        </row>
        <row r="29">
          <cell r="I29">
            <v>688.70009854405237</v>
          </cell>
          <cell r="T29">
            <v>43.994382223653709</v>
          </cell>
          <cell r="AE29">
            <v>135.5653091661658</v>
          </cell>
          <cell r="AP29">
            <v>30.235936954867256</v>
          </cell>
          <cell r="BA29">
            <v>12.160090884286198</v>
          </cell>
          <cell r="BL29">
            <v>49.237030909993393</v>
          </cell>
          <cell r="BW29">
            <v>2.967405007391311</v>
          </cell>
          <cell r="CH29">
            <v>97.395073170208718</v>
          </cell>
        </row>
        <row r="30">
          <cell r="I30">
            <v>720.93385956866769</v>
          </cell>
          <cell r="T30">
            <v>47.154236303016361</v>
          </cell>
          <cell r="AE30">
            <v>144.60416984922813</v>
          </cell>
          <cell r="AP30">
            <v>31.901086120193039</v>
          </cell>
          <cell r="BA30">
            <v>12.964001904799419</v>
          </cell>
          <cell r="BL30">
            <v>52.714827755846123</v>
          </cell>
          <cell r="BW30">
            <v>3.1466329903262471</v>
          </cell>
          <cell r="CH30">
            <v>101.89425923159187</v>
          </cell>
        </row>
        <row r="31">
          <cell r="I31">
            <v>749.71299440580844</v>
          </cell>
          <cell r="T31">
            <v>50.318816175674037</v>
          </cell>
          <cell r="AE31">
            <v>152.74734679981518</v>
          </cell>
          <cell r="AP31">
            <v>33.398322007131867</v>
          </cell>
          <cell r="BA31">
            <v>13.685555655260314</v>
          </cell>
          <cell r="BL31">
            <v>55.881828120427251</v>
          </cell>
          <cell r="BW31">
            <v>3.3100037181205324</v>
          </cell>
          <cell r="CH31">
            <v>105.9057280525716</v>
          </cell>
        </row>
        <row r="32">
          <cell r="I32">
            <v>774.40145769923492</v>
          </cell>
          <cell r="T32">
            <v>53.251467319620026</v>
          </cell>
          <cell r="AE32">
            <v>160.06795647976574</v>
          </cell>
          <cell r="AP32">
            <v>34.755096763348298</v>
          </cell>
          <cell r="BA32">
            <v>14.326354981934264</v>
          </cell>
          <cell r="BL32">
            <v>58.747422886082077</v>
          </cell>
          <cell r="BW32">
            <v>3.4575777670652474</v>
          </cell>
          <cell r="CH32">
            <v>109.46507018964098</v>
          </cell>
        </row>
        <row r="33">
          <cell r="I33">
            <v>795.23440488259314</v>
          </cell>
          <cell r="T33">
            <v>55.941898434553593</v>
          </cell>
          <cell r="AE33">
            <v>166.66186642252171</v>
          </cell>
          <cell r="AP33">
            <v>35.970052395924299</v>
          </cell>
          <cell r="BA33">
            <v>14.891599740526734</v>
          </cell>
          <cell r="BL33">
            <v>61.331147949141048</v>
          </cell>
          <cell r="BW33">
            <v>3.5897622669737901</v>
          </cell>
          <cell r="CH33">
            <v>112.5922057384</v>
          </cell>
        </row>
        <row r="34">
          <cell r="I34">
            <v>812.2455310518767</v>
          </cell>
          <cell r="T34">
            <v>58.346257215123693</v>
          </cell>
          <cell r="AE34">
            <v>172.52865476313187</v>
          </cell>
          <cell r="AP34">
            <v>37.02660694160177</v>
          </cell>
          <cell r="BA34">
            <v>15.382752831645018</v>
          </cell>
          <cell r="BL34">
            <v>63.621867633307637</v>
          </cell>
          <cell r="BW34">
            <v>3.7054301669435667</v>
          </cell>
          <cell r="CH34">
            <v>115.23256256759551</v>
          </cell>
        </row>
        <row r="35">
          <cell r="I35">
            <v>825.89561567610258</v>
          </cell>
          <cell r="T35">
            <v>60.496809180759641</v>
          </cell>
          <cell r="AE35">
            <v>177.76889477094781</v>
          </cell>
          <cell r="AP35">
            <v>37.916920284152837</v>
          </cell>
          <cell r="BA35">
            <v>15.808779295916322</v>
          </cell>
          <cell r="BL35">
            <v>65.648534043175815</v>
          </cell>
          <cell r="BW35">
            <v>3.805529406507961</v>
          </cell>
          <cell r="CH35">
            <v>117.44547551855608</v>
          </cell>
        </row>
        <row r="36">
          <cell r="I36">
            <v>838.4089128757447</v>
          </cell>
          <cell r="T36">
            <v>62.593072018437184</v>
          </cell>
          <cell r="AE36">
            <v>182.47447204117191</v>
          </cell>
          <cell r="AP36">
            <v>38.63694477385819</v>
          </cell>
          <cell r="BA36">
            <v>16.176028128396347</v>
          </cell>
          <cell r="BL36">
            <v>67.423998995371633</v>
          </cell>
          <cell r="BW36">
            <v>3.8914213013095686</v>
          </cell>
          <cell r="CH36">
            <v>119.28663112315986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ural_Gas_Delivered_Industria"/>
    </sheetNames>
    <sheetDataSet>
      <sheetData sheetId="0">
        <row r="32">
          <cell r="I32">
            <v>26.580006820000001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_End-Use_Prices_Indu"/>
    </sheetNames>
    <sheetDataSet>
      <sheetData sheetId="0">
        <row r="32">
          <cell r="I32">
            <v>-12.39059473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>
        <row r="3">
          <cell r="F3">
            <v>2.3502521842007189</v>
          </cell>
          <cell r="G3">
            <v>2.5869015294156874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G3">
            <v>0.77570867557287315</v>
          </cell>
          <cell r="H3">
            <v>3.3651144577356922</v>
          </cell>
        </row>
      </sheetData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F3">
            <v>2.5466397621120489</v>
          </cell>
          <cell r="G3">
            <v>3.4724833784530622</v>
          </cell>
        </row>
        <row r="4">
          <cell r="H4">
            <v>3.4604930593436438</v>
          </cell>
        </row>
        <row r="5">
          <cell r="H5">
            <v>1.3835545246936669</v>
          </cell>
        </row>
        <row r="6">
          <cell r="H6">
            <v>1.1750755565277997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>
        <row r="4">
          <cell r="I4">
            <v>2.6553588278161464</v>
          </cell>
        </row>
        <row r="5">
          <cell r="I5">
            <v>0.95063904381107867</v>
          </cell>
        </row>
        <row r="6">
          <cell r="I6">
            <v>0.53482526168133948</v>
          </cell>
        </row>
      </sheetData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>
        <row r="3">
          <cell r="F3">
            <v>1.7621652175789317</v>
          </cell>
          <cell r="G3">
            <v>1.467570624873483</v>
          </cell>
        </row>
      </sheetData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>
        <row r="3">
          <cell r="G3">
            <v>0.73718027291616361</v>
          </cell>
          <cell r="H3">
            <v>1.9358465031399918</v>
          </cell>
        </row>
      </sheetData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F3">
            <v>2.4818647417323803</v>
          </cell>
          <cell r="G3">
            <v>2.0297449497120494</v>
          </cell>
        </row>
        <row r="4">
          <cell r="H4">
            <v>2.4421342107791824</v>
          </cell>
        </row>
        <row r="5">
          <cell r="H5">
            <v>1.065627730799902</v>
          </cell>
        </row>
        <row r="6">
          <cell r="H6">
            <v>1.0038477498653453</v>
          </cell>
        </row>
      </sheetData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>
        <row r="3">
          <cell r="F3">
            <v>1.6739510676506639</v>
          </cell>
          <cell r="G3">
            <v>1.2514900936874629</v>
          </cell>
        </row>
      </sheetData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 refreshError="1"/>
      <sheetData sheetId="1">
        <row r="3">
          <cell r="G3">
            <v>0.73107736287296465</v>
          </cell>
          <cell r="H3">
            <v>1.5614593237578549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F3">
            <v>2.4698306120886349</v>
          </cell>
          <cell r="G3">
            <v>1.6781991393914344</v>
          </cell>
        </row>
        <row r="4">
          <cell r="H4">
            <v>2.294077195415805</v>
          </cell>
        </row>
        <row r="5">
          <cell r="H5">
            <v>1.0213326128613729</v>
          </cell>
        </row>
        <row r="6">
          <cell r="H6">
            <v>0.83261994320289079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G3">
            <v>0.22619900948134924</v>
          </cell>
        </row>
      </sheetData>
      <sheetData sheetId="2"/>
      <sheetData sheetId="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C3">
            <v>2.0893490013375531</v>
          </cell>
          <cell r="F3">
            <v>2.615978582572045</v>
          </cell>
        </row>
      </sheetData>
      <sheetData sheetId="2"/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14269536.397399999</v>
          </cell>
        </row>
      </sheetData>
      <sheetData sheetId="1">
        <row r="3">
          <cell r="C3">
            <v>2.0194165973151348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future-distributed-natural-gas-"/>
    </sheetNames>
    <definedNames>
      <definedName name="result_cap_contr" refersTo="='Results'!$C$22"/>
      <definedName name="result_feed_contr" refersTo="='Results'!$C$25"/>
      <definedName name="result_Fixed_O_M_contr" refersTo="='Results'!$C$24"/>
      <definedName name="result_Other_Mat_contr" refersTo="='Results'!$C$26"/>
      <definedName name="result_other_var_contr" refersTo="='Results'!$C$28"/>
      <definedName name="total_cap" refersTo="='Input_Sheet_Template'!$E$86"/>
    </definedNames>
    <sheetDataSet>
      <sheetData sheetId="0"/>
      <sheetData sheetId="1"/>
      <sheetData sheetId="2"/>
      <sheetData sheetId="3">
        <row r="86">
          <cell r="E86">
            <v>6893909.2896203473</v>
          </cell>
        </row>
      </sheetData>
      <sheetData sheetId="4"/>
      <sheetData sheetId="5"/>
      <sheetData sheetId="6"/>
      <sheetData sheetId="7" refreshError="1"/>
      <sheetData sheetId="8"/>
      <sheetData sheetId="9">
        <row r="22">
          <cell r="C22">
            <v>0.39946515281678785</v>
          </cell>
        </row>
        <row r="24">
          <cell r="C24">
            <v>0.79783849841179877</v>
          </cell>
        </row>
        <row r="25">
          <cell r="C25">
            <v>0.54530000000000056</v>
          </cell>
        </row>
        <row r="26">
          <cell r="C26">
            <v>0</v>
          </cell>
        </row>
        <row r="28">
          <cell r="C28">
            <v>0.24193001456818192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future-distributed-pem-electrol"/>
    </sheetNames>
    <definedNames>
      <definedName name="result_cap_contr" refersTo="='Results'!$C$22"/>
      <definedName name="result_decom_contr" refersTo="='Results'!$C$23"/>
      <definedName name="result_feed_contr" refersTo="='Results'!$C$25"/>
      <definedName name="result_Fixed_O_M_contr" refersTo="='Results'!$C$24"/>
      <definedName name="result_other_var_contr" refersTo="='Results'!$C$28"/>
      <definedName name="total_cap" refersTo="='Input_Sheet_Template'!$E$86"/>
    </definedNames>
    <sheetDataSet>
      <sheetData sheetId="0"/>
      <sheetData sheetId="1"/>
      <sheetData sheetId="2"/>
      <sheetData sheetId="3">
        <row r="86">
          <cell r="E86">
            <v>14957283.218234312</v>
          </cell>
        </row>
      </sheetData>
      <sheetData sheetId="4"/>
      <sheetData sheetId="5"/>
      <sheetData sheetId="6"/>
      <sheetData sheetId="7" refreshError="1"/>
      <sheetData sheetId="8"/>
      <sheetData sheetId="9">
        <row r="22">
          <cell r="C22">
            <v>0.8195261350399714</v>
          </cell>
        </row>
        <row r="23">
          <cell r="C23">
            <v>2.1603507729324345E-2</v>
          </cell>
        </row>
        <row r="24">
          <cell r="C24">
            <v>0.88960273730823747</v>
          </cell>
        </row>
        <row r="25">
          <cell r="C25">
            <v>5.1400000000000032</v>
          </cell>
        </row>
        <row r="28">
          <cell r="C28">
            <v>1.4937405025353657E-2</v>
          </cell>
        </row>
        <row r="29">
          <cell r="C29">
            <v>-0.08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G3">
            <v>0.20886899508900769</v>
          </cell>
        </row>
      </sheetData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C3">
            <v>1.7215393158343808</v>
          </cell>
          <cell r="F3">
            <v>2.1750613856494234</v>
          </cell>
        </row>
      </sheetData>
      <sheetData sheetId="2"/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7417365.9364999998</v>
          </cell>
        </row>
      </sheetData>
      <sheetData sheetId="1">
        <row r="3">
          <cell r="C3">
            <v>1.1004622824840924</v>
          </cell>
        </row>
        <row r="4">
          <cell r="C4">
            <v>0.58262594632282372</v>
          </cell>
        </row>
        <row r="5">
          <cell r="C5">
            <v>0.28535178132092043</v>
          </cell>
        </row>
        <row r="6">
          <cell r="C6">
            <v>0.23248455484034805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future-distributed-natural-gas-"/>
    </sheetNames>
    <definedNames>
      <definedName name="result_cap_contr" refersTo="='Results'!$C$22"/>
      <definedName name="result_feed_contr" refersTo="='Results'!$C$25"/>
      <definedName name="result_Fixed_O_M_contr" refersTo="='Results'!$C$24"/>
      <definedName name="result_Other_Mat_contr" refersTo="='Results'!$C$26"/>
      <definedName name="result_other_var_contr" refersTo="='Results'!$C$28"/>
      <definedName name="total_cap" refersTo="='Input_Sheet_Template'!$E$86"/>
    </definedNames>
    <sheetDataSet>
      <sheetData sheetId="0"/>
      <sheetData sheetId="1"/>
      <sheetData sheetId="2"/>
      <sheetData sheetId="3">
        <row r="86">
          <cell r="E86">
            <v>6196951.5600605039</v>
          </cell>
        </row>
      </sheetData>
      <sheetData sheetId="4"/>
      <sheetData sheetId="5"/>
      <sheetData sheetId="6"/>
      <sheetData sheetId="7" refreshError="1"/>
      <sheetData sheetId="8"/>
      <sheetData sheetId="9">
        <row r="22">
          <cell r="C22">
            <v>0.36535117341373069</v>
          </cell>
        </row>
        <row r="24">
          <cell r="C24">
            <v>0.77486739898180435</v>
          </cell>
        </row>
        <row r="25">
          <cell r="C25">
            <v>0.77900000000000036</v>
          </cell>
        </row>
        <row r="26">
          <cell r="C26">
            <v>0</v>
          </cell>
        </row>
        <row r="28">
          <cell r="C28">
            <v>0.15121001456818189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future-distributed-pem-electrol"/>
    </sheetNames>
    <definedNames>
      <definedName name="result_cap_contr" refersTo="='Results'!$C$22"/>
      <definedName name="result_decom_contr" refersTo="='Results'!$C$23"/>
      <definedName name="result_feed_contr" refersTo="='Results'!$C$25"/>
      <definedName name="result_Fixed_O_M_contr" refersTo="='Results'!$C$24"/>
      <definedName name="result_other_var_contr" refersTo="='Results'!$C$28"/>
      <definedName name="total_cap" refersTo="='Input_Sheet_Template'!$E$86"/>
    </definedNames>
    <sheetDataSet>
      <sheetData sheetId="0"/>
      <sheetData sheetId="1"/>
      <sheetData sheetId="2"/>
      <sheetData sheetId="3">
        <row r="86">
          <cell r="E86">
            <v>12015527.918234311</v>
          </cell>
        </row>
      </sheetData>
      <sheetData sheetId="4"/>
      <sheetData sheetId="5"/>
      <sheetData sheetId="6"/>
      <sheetData sheetId="7" refreshError="1"/>
      <sheetData sheetId="8"/>
      <sheetData sheetId="9">
        <row r="22">
          <cell r="C22">
            <v>0.640571840316564</v>
          </cell>
        </row>
        <row r="23">
          <cell r="C23">
            <v>1.735459217199541E-2</v>
          </cell>
        </row>
        <row r="24">
          <cell r="C24">
            <v>0.77939658279945412</v>
          </cell>
        </row>
        <row r="25">
          <cell r="C25">
            <v>3.084000000000001</v>
          </cell>
        </row>
        <row r="28">
          <cell r="C28">
            <v>1.4937405025353661E-2</v>
          </cell>
        </row>
        <row r="29">
          <cell r="C29">
            <v>-0.08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G3">
            <v>0.20556191331940463</v>
          </cell>
        </row>
      </sheetData>
      <sheetData sheetId="2"/>
      <sheetData sheetId="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3">
          <cell r="C3">
            <v>1.353729630331207</v>
          </cell>
          <cell r="F3">
            <v>1.7925313677577104</v>
          </cell>
        </row>
      </sheetData>
      <sheetData sheetId="2"/>
      <sheetData sheetId="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6489073.8476999998</v>
          </cell>
        </row>
      </sheetData>
      <sheetData sheetId="1">
        <row r="3">
          <cell r="C3">
            <v>0.84002953992300167</v>
          </cell>
        </row>
        <row r="4">
          <cell r="C4">
            <v>0.50336076733824553</v>
          </cell>
        </row>
        <row r="5">
          <cell r="C5">
            <v>0.25917392097130665</v>
          </cell>
        </row>
        <row r="6">
          <cell r="C6">
            <v>7.749485161344935E-2</v>
          </cell>
        </row>
      </sheetData>
      <sheetData sheetId="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future-distributed-natural-gas-"/>
    </sheetNames>
    <definedNames>
      <definedName name="result_cap_contr" refersTo="='Results'!$C$22"/>
      <definedName name="result_feed_contr" refersTo="='Results'!$C$25"/>
      <definedName name="result_Fixed_O_M_contr" refersTo="='Results'!$C$24"/>
      <definedName name="result_Other_Mat_contr" refersTo="='Results'!$C$26"/>
      <definedName name="result_other_var_contr" refersTo="='Results'!$C$28"/>
      <definedName name="total_cap" refersTo="='Input_Sheet_Template'!$E$86"/>
    </definedNames>
    <sheetDataSet>
      <sheetData sheetId="0"/>
      <sheetData sheetId="1"/>
      <sheetData sheetId="2"/>
      <sheetData sheetId="3">
        <row r="86">
          <cell r="E86">
            <v>5583547.0369701032</v>
          </cell>
        </row>
      </sheetData>
      <sheetData sheetId="4"/>
      <sheetData sheetId="5"/>
      <sheetData sheetId="6"/>
      <sheetData sheetId="7" refreshError="1"/>
      <sheetData sheetId="8"/>
      <sheetData sheetId="9">
        <row r="22">
          <cell r="C22">
            <v>0.33112549211391606</v>
          </cell>
        </row>
        <row r="24">
          <cell r="C24">
            <v>0.74753738896701238</v>
          </cell>
        </row>
        <row r="25">
          <cell r="C25">
            <v>0.93480000000000085</v>
          </cell>
        </row>
        <row r="26">
          <cell r="C26">
            <v>0</v>
          </cell>
        </row>
        <row r="28">
          <cell r="C28">
            <v>6.0431504903110445E-2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future-distributed-pem-electrol"/>
    </sheetNames>
    <definedNames>
      <definedName name="result_cap_contr" refersTo="='Results'!$C$22"/>
      <definedName name="result_decom_contr" refersTo="='Results'!$C$23"/>
      <definedName name="result_feed_contr" refersTo="='Results'!$C$25"/>
      <definedName name="result_Fixed_O_M_contr" refersTo="='Results'!$C$24"/>
      <definedName name="result_other_var_contr" refersTo="='Results'!$C$28"/>
      <definedName name="total_cap" refersTo="='Input_Sheet_Template'!$E$86"/>
    </definedNames>
    <sheetDataSet>
      <sheetData sheetId="0"/>
      <sheetData sheetId="1"/>
      <sheetData sheetId="2"/>
      <sheetData sheetId="3">
        <row r="86">
          <cell r="E86">
            <v>4661139.6682343083</v>
          </cell>
        </row>
      </sheetData>
      <sheetData sheetId="4"/>
      <sheetData sheetId="5"/>
      <sheetData sheetId="6"/>
      <sheetData sheetId="7" refreshError="1"/>
      <sheetData sheetId="8"/>
      <sheetData sheetId="9">
        <row r="22">
          <cell r="C22">
            <v>0.24881297905205585</v>
          </cell>
        </row>
        <row r="23">
          <cell r="C23">
            <v>6.732303278673045E-3</v>
          </cell>
        </row>
        <row r="24">
          <cell r="C24">
            <v>0.503947232000726</v>
          </cell>
        </row>
        <row r="25">
          <cell r="C25">
            <v>1.0280000000000002</v>
          </cell>
        </row>
        <row r="28">
          <cell r="C28">
            <v>1.4937405025353656E-2</v>
          </cell>
        </row>
        <row r="29">
          <cell r="C29">
            <v>-0.08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Economy"/>
      <sheetName val="H2 demand, stock"/>
      <sheetName val="LC1 H2 LDV stock"/>
      <sheetName val="LC1 H2 Truck stock"/>
      <sheetName val="LC1 H2 LDV VMT"/>
      <sheetName val="LD1 H2 Truck VMT"/>
      <sheetName val="LC1 H2 LDV Fuel Use"/>
      <sheetName val="LC1 H2 Truck Fuel Use"/>
      <sheetName val="LC1 H2 LDV Sales"/>
      <sheetName val="LC1 H2 Truck Sales"/>
      <sheetName val="High ZEV H2 LDV stock"/>
      <sheetName val="High ZEV H2 Truck stock"/>
      <sheetName val="High ZEV H2 LDV VMT"/>
      <sheetName val="High ZEV H2 Truck VMT"/>
      <sheetName val="High ZEV H2 LDV Fuel Use"/>
      <sheetName val="HIGH ZEV H2 Truck Fuel Use"/>
      <sheetName val="High ZEV H2 LDV SAles"/>
      <sheetName val="High ZEV H2 Truck Sales"/>
      <sheetName val="H2 figures"/>
      <sheetName val="Sales Shares"/>
      <sheetName val="SS figu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G11">
            <v>46.563817957883778</v>
          </cell>
          <cell r="P11">
            <v>26.102308398489772</v>
          </cell>
        </row>
        <row r="16">
          <cell r="G16">
            <v>446.68608831613039</v>
          </cell>
          <cell r="P16">
            <v>306.43338527026532</v>
          </cell>
        </row>
        <row r="21">
          <cell r="G21">
            <v>1663.9365297298482</v>
          </cell>
          <cell r="P21">
            <v>1217.6992767919812</v>
          </cell>
        </row>
        <row r="26">
          <cell r="G26">
            <v>3644.734428681204</v>
          </cell>
          <cell r="P26">
            <v>2772.958452790413</v>
          </cell>
        </row>
        <row r="31">
          <cell r="G31">
            <v>5583.1938224108981</v>
          </cell>
          <cell r="P31">
            <v>4415.3734946331324</v>
          </cell>
        </row>
        <row r="36">
          <cell r="G36">
            <v>6849.8741937122149</v>
          </cell>
          <cell r="P36">
            <v>5686.4395113528253</v>
          </cell>
        </row>
      </sheetData>
      <sheetData sheetId="11">
        <row r="11">
          <cell r="D11">
            <v>0.94700921164339069</v>
          </cell>
          <cell r="J11">
            <v>0.25110222732260562</v>
          </cell>
          <cell r="R11">
            <v>3.1133793165018875E-5</v>
          </cell>
          <cell r="AA11">
            <v>1.0158574258716599</v>
          </cell>
          <cell r="AJ11">
            <v>1.6577613289328497E-10</v>
          </cell>
          <cell r="AS11">
            <v>1.2808614320135647E-15</v>
          </cell>
          <cell r="BA11">
            <v>2.3403279219432458E-7</v>
          </cell>
          <cell r="BH11">
            <v>0</v>
          </cell>
        </row>
        <row r="16">
          <cell r="D16">
            <v>12.332852561891693</v>
          </cell>
          <cell r="J16">
            <v>2.2119009382208628</v>
          </cell>
          <cell r="R16">
            <v>8.2352758587743971</v>
          </cell>
          <cell r="AA16">
            <v>3.6254850167812713</v>
          </cell>
          <cell r="AJ16">
            <v>0.65247727882170659</v>
          </cell>
          <cell r="AS16">
            <v>2.284948995943028</v>
          </cell>
          <cell r="BA16">
            <v>0.69786767816326623</v>
          </cell>
          <cell r="BH16">
            <v>35.261875086749122</v>
          </cell>
        </row>
        <row r="21">
          <cell r="D21">
            <v>41.129307206857625</v>
          </cell>
          <cell r="J21">
            <v>6.0982043303539228</v>
          </cell>
          <cell r="R21">
            <v>39.235462530629206</v>
          </cell>
          <cell r="AA21">
            <v>7.743657534578511</v>
          </cell>
          <cell r="AJ21">
            <v>3.198472817081389</v>
          </cell>
          <cell r="AS21">
            <v>10.438975982892636</v>
          </cell>
          <cell r="BA21">
            <v>3.9575463892641221</v>
          </cell>
          <cell r="BH21">
            <v>150.60333390745214</v>
          </cell>
        </row>
        <row r="26">
          <cell r="D26">
            <v>82.715259214225597</v>
          </cell>
          <cell r="J26">
            <v>11.153873939965374</v>
          </cell>
          <cell r="R26">
            <v>97.689472085459656</v>
          </cell>
          <cell r="AA26">
            <v>13.82680213641628</v>
          </cell>
          <cell r="AJ26">
            <v>7.7369448089989339</v>
          </cell>
          <cell r="AS26">
            <v>24.992014183461912</v>
          </cell>
          <cell r="BA26">
            <v>9.0036423088785398</v>
          </cell>
          <cell r="BH26">
            <v>312.99771640098771</v>
          </cell>
        </row>
        <row r="31">
          <cell r="D31">
            <v>124.66311470106567</v>
          </cell>
          <cell r="J31">
            <v>17.092448098678801</v>
          </cell>
          <cell r="R31">
            <v>160.7830724968687</v>
          </cell>
          <cell r="AA31">
            <v>19.924525683854501</v>
          </cell>
          <cell r="AJ31">
            <v>12.413210356193515</v>
          </cell>
          <cell r="AS31">
            <v>39.694643346742716</v>
          </cell>
          <cell r="BA31">
            <v>13.569382487136554</v>
          </cell>
          <cell r="BH31">
            <v>458.15904883771361</v>
          </cell>
        </row>
        <row r="36">
          <cell r="D36">
            <v>157.21658188811244</v>
          </cell>
          <cell r="J36">
            <v>22.376159261843124</v>
          </cell>
          <cell r="R36">
            <v>211.4894257357183</v>
          </cell>
          <cell r="AA36">
            <v>24.170384917497231</v>
          </cell>
          <cell r="AJ36">
            <v>16.016127511401876</v>
          </cell>
          <cell r="AS36">
            <v>50.074518332508291</v>
          </cell>
          <cell r="BA36">
            <v>16.848928196115981</v>
          </cell>
          <cell r="BH36">
            <v>564.36316577828097</v>
          </cell>
        </row>
      </sheetData>
      <sheetData sheetId="12"/>
      <sheetData sheetId="13"/>
      <sheetData sheetId="14"/>
      <sheetData sheetId="15"/>
      <sheetData sheetId="16">
        <row r="11">
          <cell r="I11">
            <v>11.8</v>
          </cell>
          <cell r="S11">
            <v>8.7000000000000011</v>
          </cell>
        </row>
        <row r="16">
          <cell r="I16">
            <v>127.84999999999998</v>
          </cell>
          <cell r="S16">
            <v>88.907727272727271</v>
          </cell>
        </row>
        <row r="21">
          <cell r="I21">
            <v>339.81818181818159</v>
          </cell>
          <cell r="S21">
            <v>255.54545454545459</v>
          </cell>
        </row>
        <row r="26">
          <cell r="I26">
            <v>518.49545454545398</v>
          </cell>
          <cell r="S26">
            <v>395.01363636363646</v>
          </cell>
        </row>
        <row r="31">
          <cell r="I31">
            <v>536.81818181818107</v>
          </cell>
          <cell r="S31">
            <v>414.54545454545473</v>
          </cell>
        </row>
        <row r="36">
          <cell r="I36">
            <v>525</v>
          </cell>
          <cell r="S36">
            <v>410</v>
          </cell>
        </row>
      </sheetData>
      <sheetData sheetId="17">
        <row r="11">
          <cell r="D11">
            <v>0.32262500000000005</v>
          </cell>
          <cell r="H11">
            <v>8.5749999999999965E-2</v>
          </cell>
          <cell r="N11">
            <v>0</v>
          </cell>
          <cell r="U11">
            <v>0.33875000000000033</v>
          </cell>
          <cell r="AB11">
            <v>0</v>
          </cell>
          <cell r="AI11">
            <v>0</v>
          </cell>
          <cell r="AO11">
            <v>0</v>
          </cell>
          <cell r="AT11">
            <v>0</v>
          </cell>
        </row>
        <row r="16">
          <cell r="D16">
            <v>3.7125000000000012</v>
          </cell>
          <cell r="H16">
            <v>0.62499999999999944</v>
          </cell>
          <cell r="N16">
            <v>2.8000000000000029</v>
          </cell>
          <cell r="U16">
            <v>0.69000000000000083</v>
          </cell>
          <cell r="AB16">
            <v>0.22000000000000011</v>
          </cell>
          <cell r="AI16">
            <v>0.76500000000000057</v>
          </cell>
          <cell r="AO16">
            <v>0.23500000000000038</v>
          </cell>
          <cell r="AT16">
            <v>11.849999999999991</v>
          </cell>
        </row>
        <row r="21">
          <cell r="D21">
            <v>7.962500000000003</v>
          </cell>
          <cell r="H21">
            <v>1.0199999999999987</v>
          </cell>
          <cell r="N21">
            <v>8.9250000000000096</v>
          </cell>
          <cell r="U21">
            <v>1.1240000000000014</v>
          </cell>
          <cell r="AB21">
            <v>0.72800000000000054</v>
          </cell>
          <cell r="AI21">
            <v>2.3062500000000021</v>
          </cell>
          <cell r="AO21">
            <v>0.96500000000000186</v>
          </cell>
          <cell r="AT21">
            <v>32.199999999999974</v>
          </cell>
        </row>
        <row r="26">
          <cell r="D26">
            <v>10.925000000000006</v>
          </cell>
          <cell r="H26">
            <v>1.3519999999999979</v>
          </cell>
          <cell r="N26">
            <v>15.750000000000021</v>
          </cell>
          <cell r="U26">
            <v>1.7875000000000028</v>
          </cell>
          <cell r="AB26">
            <v>1.1750000000000012</v>
          </cell>
          <cell r="AI26">
            <v>3.8625000000000043</v>
          </cell>
          <cell r="AO26">
            <v>1.2375000000000027</v>
          </cell>
          <cell r="AT26">
            <v>40.999999999999957</v>
          </cell>
        </row>
        <row r="31">
          <cell r="D31">
            <v>11.625000000000009</v>
          </cell>
          <cell r="H31">
            <v>1.7754999999999965</v>
          </cell>
          <cell r="N31">
            <v>16.625000000000025</v>
          </cell>
          <cell r="U31">
            <v>1.8187500000000032</v>
          </cell>
          <cell r="AB31">
            <v>1.2125000000000015</v>
          </cell>
          <cell r="AI31">
            <v>3.881250000000005</v>
          </cell>
          <cell r="AO31">
            <v>1.2687500000000032</v>
          </cell>
          <cell r="AT31">
            <v>41.74999999999995</v>
          </cell>
        </row>
        <row r="36">
          <cell r="D36">
            <v>12</v>
          </cell>
          <cell r="H36">
            <v>1.8759999999999999</v>
          </cell>
          <cell r="N36">
            <v>17.5</v>
          </cell>
          <cell r="U36">
            <v>1.85</v>
          </cell>
          <cell r="AB36">
            <v>1.25</v>
          </cell>
          <cell r="AI36">
            <v>3.9</v>
          </cell>
          <cell r="AO36">
            <v>1.3</v>
          </cell>
          <cell r="AT36">
            <v>42.5</v>
          </cell>
        </row>
      </sheetData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"/>
      <sheetName val="Sales"/>
      <sheetName val="Fuel Use"/>
      <sheetName val="VMT, fuel econ"/>
      <sheetName val="Sheet1"/>
    </sheetNames>
    <sheetDataSet>
      <sheetData sheetId="0"/>
      <sheetData sheetId="1"/>
      <sheetData sheetId="2"/>
      <sheetData sheetId="3">
        <row r="5">
          <cell r="B5">
            <v>14272.196081272346</v>
          </cell>
          <cell r="C5">
            <v>64.849459827911915</v>
          </cell>
          <cell r="E5">
            <v>0</v>
          </cell>
          <cell r="F5">
            <v>46.22</v>
          </cell>
          <cell r="H5">
            <v>0</v>
          </cell>
          <cell r="I5">
            <v>6.8174983154473452</v>
          </cell>
          <cell r="K5">
            <v>0</v>
          </cell>
          <cell r="L5">
            <v>10.553101419269508</v>
          </cell>
          <cell r="N5">
            <v>0</v>
          </cell>
          <cell r="O5">
            <v>14.791464212174969</v>
          </cell>
          <cell r="Q5">
            <v>20313.504680080336</v>
          </cell>
          <cell r="R5">
            <v>8.9562809836940218</v>
          </cell>
          <cell r="T5">
            <v>23717.35057072981</v>
          </cell>
          <cell r="U5">
            <v>14.122753619685145</v>
          </cell>
          <cell r="W5">
            <v>0</v>
          </cell>
          <cell r="X5">
            <v>8.4543334439855986</v>
          </cell>
          <cell r="Z5">
            <v>0</v>
          </cell>
          <cell r="AA5">
            <v>15.537210082798333</v>
          </cell>
          <cell r="AC5">
            <v>0</v>
          </cell>
          <cell r="AD5">
            <v>38.72</v>
          </cell>
        </row>
        <row r="10">
          <cell r="B10">
            <v>17052.487349072417</v>
          </cell>
          <cell r="C10">
            <v>68.82478819134846</v>
          </cell>
          <cell r="E10">
            <v>18270.494951311262</v>
          </cell>
          <cell r="F10">
            <v>47.408657879814101</v>
          </cell>
          <cell r="H10">
            <v>80420.568869617535</v>
          </cell>
          <cell r="I10">
            <v>8.2246478467199005</v>
          </cell>
          <cell r="K10">
            <v>45055.3912801228</v>
          </cell>
          <cell r="L10">
            <v>12.29836982279908</v>
          </cell>
          <cell r="N10">
            <v>0</v>
          </cell>
          <cell r="O10">
            <v>15.389557869218947</v>
          </cell>
          <cell r="Q10">
            <v>20315.122403303187</v>
          </cell>
          <cell r="R10">
            <v>10.141771907853999</v>
          </cell>
          <cell r="T10">
            <v>23731.447341706084</v>
          </cell>
          <cell r="U10">
            <v>16.187579607998142</v>
          </cell>
          <cell r="W10">
            <v>17519.71059571845</v>
          </cell>
          <cell r="X10">
            <v>9.7764926619548618</v>
          </cell>
          <cell r="Z10">
            <v>5828.3562854255388</v>
          </cell>
          <cell r="AA10">
            <v>18.264441639723241</v>
          </cell>
          <cell r="AC10">
            <v>15865.312602643071</v>
          </cell>
          <cell r="AD10">
            <v>42.076457931533099</v>
          </cell>
        </row>
        <row r="15">
          <cell r="B15">
            <v>15489.335038455587</v>
          </cell>
          <cell r="C15">
            <v>71.757620606239783</v>
          </cell>
          <cell r="E15">
            <v>17080.212656753996</v>
          </cell>
          <cell r="F15">
            <v>48.695282883288336</v>
          </cell>
          <cell r="H15">
            <v>77290.566399664938</v>
          </cell>
          <cell r="I15">
            <v>8.9810105500900672</v>
          </cell>
          <cell r="K15">
            <v>44986.454149997189</v>
          </cell>
          <cell r="L15">
            <v>13.216499517853721</v>
          </cell>
          <cell r="N15">
            <v>24900.898061202955</v>
          </cell>
          <cell r="O15">
            <v>18.13247653121072</v>
          </cell>
          <cell r="Q15">
            <v>20715.330825854697</v>
          </cell>
          <cell r="R15">
            <v>10.711922615102159</v>
          </cell>
          <cell r="T15">
            <v>22967.553149101503</v>
          </cell>
          <cell r="U15">
            <v>17.053343310292689</v>
          </cell>
          <cell r="W15">
            <v>17255.797008951417</v>
          </cell>
          <cell r="X15">
            <v>10.400470012771267</v>
          </cell>
          <cell r="Z15">
            <v>5676.4937951495031</v>
          </cell>
          <cell r="AA15">
            <v>19.485368064746247</v>
          </cell>
          <cell r="AC15">
            <v>15273.296818911238</v>
          </cell>
          <cell r="AD15">
            <v>47.124072044178931</v>
          </cell>
        </row>
        <row r="20">
          <cell r="B20">
            <v>15050.933546612501</v>
          </cell>
          <cell r="C20">
            <v>74.029403480274226</v>
          </cell>
          <cell r="E20">
            <v>15929.10216613927</v>
          </cell>
          <cell r="F20">
            <v>49.536201773324116</v>
          </cell>
          <cell r="H20">
            <v>72388.482378209737</v>
          </cell>
          <cell r="I20">
            <v>9.3985970245972883</v>
          </cell>
          <cell r="K20">
            <v>44727.484631044499</v>
          </cell>
          <cell r="L20">
            <v>13.609964896873075</v>
          </cell>
          <cell r="N20">
            <v>23281.40148657329</v>
          </cell>
          <cell r="O20">
            <v>18.59742162365816</v>
          </cell>
          <cell r="Q20">
            <v>20980.542995198182</v>
          </cell>
          <cell r="R20">
            <v>11.035278748962256</v>
          </cell>
          <cell r="T20">
            <v>22197.59137867458</v>
          </cell>
          <cell r="U20">
            <v>17.652049014850586</v>
          </cell>
          <cell r="W20">
            <v>16810.46288405891</v>
          </cell>
          <cell r="X20">
            <v>10.716309339916286</v>
          </cell>
          <cell r="Z20">
            <v>5572.0883623068303</v>
          </cell>
          <cell r="AA20">
            <v>20.295733493285994</v>
          </cell>
          <cell r="AC20">
            <v>13970.337836235572</v>
          </cell>
          <cell r="AD20">
            <v>49.637884826158995</v>
          </cell>
        </row>
      </sheetData>
      <sheetData sheetId="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natural-gas-with"/>
    </sheetNames>
    <definedNames>
      <definedName name="total_cap" refersTo="='Input_Sheet_Template'!$C$108"/>
    </definedNames>
    <sheetDataSet>
      <sheetData sheetId="0"/>
      <sheetData sheetId="1"/>
      <sheetData sheetId="2"/>
      <sheetData sheetId="3">
        <row r="108">
          <cell r="C108">
            <v>23813577.831976317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pem-electrolysis"/>
    </sheetNames>
    <definedNames>
      <definedName name="total_cap" refersTo="='Input_Sheet_Template'!$C$108"/>
    </definedNames>
    <sheetDataSet>
      <sheetData sheetId="0"/>
      <sheetData sheetId="1"/>
      <sheetData sheetId="2"/>
      <sheetData sheetId="3">
        <row r="108">
          <cell r="C108">
            <v>17877994.978181001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natural-gas-with"/>
    </sheetNames>
    <definedNames>
      <definedName name="total_cap" refersTo="='Input_Sheet_Template'!$C$108"/>
    </definedNames>
    <sheetDataSet>
      <sheetData sheetId="0"/>
      <sheetData sheetId="1"/>
      <sheetData sheetId="2"/>
      <sheetData sheetId="3">
        <row r="108">
          <cell r="C108">
            <v>37237436.637959257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pem-electrolysis"/>
    </sheetNames>
    <definedNames>
      <definedName name="total_cap" refersTo="='Input_Sheet_Template'!$C$108"/>
    </definedNames>
    <sheetDataSet>
      <sheetData sheetId="0"/>
      <sheetData sheetId="1"/>
      <sheetData sheetId="2"/>
      <sheetData sheetId="3">
        <row r="108">
          <cell r="C108">
            <v>83180216.578181013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natural-gas-with"/>
    </sheetNames>
    <definedNames>
      <definedName name="total_cap" refersTo="='Input_Sheet_Template'!$C$108"/>
    </definedNames>
    <sheetDataSet>
      <sheetData sheetId="0"/>
      <sheetData sheetId="1"/>
      <sheetData sheetId="2"/>
      <sheetData sheetId="3">
        <row r="108">
          <cell r="C108">
            <v>29648007.968681641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pem-electrolysis"/>
    </sheetNames>
    <definedNames>
      <definedName name="total_cap" refersTo="='Input_Sheet_Template'!$C$108"/>
    </definedNames>
    <sheetDataSet>
      <sheetData sheetId="0"/>
      <sheetData sheetId="1"/>
      <sheetData sheetId="2"/>
      <sheetData sheetId="3">
        <row r="108">
          <cell r="C108">
            <v>64522438.978181005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8169150.7790000001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6271061.7636000002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7826345.3849999998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15460015.707699999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16323738.9309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4560766.5595000004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3354413.7585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4377154.1569999997</v>
          </cell>
        </row>
      </sheetData>
      <sheetData sheetId="1"/>
      <sheetData sheetId="2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8119683.0590000004</v>
          </cell>
        </row>
      </sheetData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8876889.6666999999</v>
          </cell>
        </row>
      </sheetData>
      <sheetData sheetId="1"/>
      <sheetData sheetId="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4056462.0314000002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2950428.1357999998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3892395.4967</v>
          </cell>
        </row>
      </sheetData>
      <sheetData sheetId="1"/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7110212.1887999997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C12">
            <v>7840877.3373999996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olyis"/>
      <sheetName val="SMR"/>
    </sheetNames>
    <sheetDataSet>
      <sheetData sheetId="0">
        <row r="4">
          <cell r="J4">
            <v>79.6432291666667</v>
          </cell>
        </row>
        <row r="14">
          <cell r="J14">
            <v>477.46979381344528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FB7D-CAF0-4D50-8D5D-DCE356A08A94}">
  <dimension ref="A1:Z100"/>
  <sheetViews>
    <sheetView topLeftCell="A7" zoomScale="90" zoomScaleNormal="90" workbookViewId="0">
      <selection activeCell="T6" sqref="T6"/>
    </sheetView>
  </sheetViews>
  <sheetFormatPr defaultRowHeight="15" x14ac:dyDescent="0.25"/>
  <sheetData>
    <row r="1" spans="1:26" x14ac:dyDescent="0.25">
      <c r="A1" s="194" t="s">
        <v>163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</row>
    <row r="2" spans="1:26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</row>
    <row r="4" spans="1:26" x14ac:dyDescent="0.25">
      <c r="K4" t="s">
        <v>11</v>
      </c>
    </row>
    <row r="5" spans="1:26" x14ac:dyDescent="0.25">
      <c r="N5" s="13"/>
      <c r="O5" s="13"/>
      <c r="P5" s="13"/>
      <c r="Q5" s="13"/>
      <c r="R5" s="13"/>
      <c r="S5" s="13"/>
      <c r="T5" s="13"/>
      <c r="U5" s="13"/>
    </row>
    <row r="6" spans="1:26" ht="45.75" thickBot="1" x14ac:dyDescent="0.3">
      <c r="B6" s="1"/>
      <c r="C6" s="2"/>
      <c r="D6" s="2"/>
      <c r="E6" s="2"/>
      <c r="F6" s="3"/>
      <c r="G6" s="2"/>
      <c r="H6" s="2"/>
      <c r="I6" s="4"/>
      <c r="L6" s="112" t="s">
        <v>0</v>
      </c>
      <c r="M6" s="112" t="s">
        <v>1</v>
      </c>
      <c r="N6" s="113" t="s">
        <v>5</v>
      </c>
      <c r="O6" s="113" t="s">
        <v>4</v>
      </c>
      <c r="P6" s="112" t="s">
        <v>145</v>
      </c>
      <c r="Q6" s="113" t="s">
        <v>126</v>
      </c>
      <c r="R6" s="113" t="s">
        <v>119</v>
      </c>
      <c r="S6" s="113" t="s">
        <v>121</v>
      </c>
      <c r="T6" s="112" t="s">
        <v>120</v>
      </c>
      <c r="U6" s="112" t="s">
        <v>2</v>
      </c>
      <c r="V6" s="4" t="s">
        <v>8</v>
      </c>
      <c r="W6" s="9" t="s">
        <v>12</v>
      </c>
    </row>
    <row r="8" spans="1:26" x14ac:dyDescent="0.25">
      <c r="A8" s="5"/>
      <c r="B8" s="11"/>
      <c r="C8" s="11"/>
      <c r="D8" s="11"/>
      <c r="E8" s="11"/>
      <c r="F8" s="11"/>
      <c r="G8" s="11"/>
      <c r="H8" s="11"/>
      <c r="I8" s="11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12"/>
      <c r="W8" s="8"/>
    </row>
    <row r="9" spans="1:26" x14ac:dyDescent="0.25">
      <c r="A9" s="5"/>
      <c r="B9" s="11"/>
      <c r="C9" s="11"/>
      <c r="D9" s="11"/>
      <c r="E9" s="11"/>
      <c r="F9" s="11"/>
      <c r="G9" s="11"/>
      <c r="H9" s="11"/>
      <c r="I9" s="11"/>
      <c r="K9" s="5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1"/>
      <c r="W9" s="162"/>
      <c r="X9" s="18"/>
      <c r="Y9" s="18"/>
      <c r="Z9" s="18"/>
    </row>
    <row r="10" spans="1:26" x14ac:dyDescent="0.25">
      <c r="A10" s="5"/>
      <c r="B10" s="11"/>
      <c r="C10" s="11"/>
      <c r="D10" s="11"/>
      <c r="E10" s="11"/>
      <c r="F10" s="11"/>
      <c r="G10" s="11"/>
      <c r="H10" s="11"/>
      <c r="I10" s="11"/>
      <c r="K10" s="5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1"/>
      <c r="W10" s="162"/>
      <c r="X10" s="18"/>
      <c r="Y10" s="18"/>
      <c r="Z10" s="18"/>
    </row>
    <row r="11" spans="1:26" x14ac:dyDescent="0.25">
      <c r="A11" s="5"/>
      <c r="B11" s="11"/>
      <c r="C11" s="11"/>
      <c r="D11" s="11"/>
      <c r="E11" s="11"/>
      <c r="F11" s="11"/>
      <c r="G11" s="11"/>
      <c r="H11" s="11"/>
      <c r="I11" s="11"/>
      <c r="K11" s="5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1"/>
      <c r="W11" s="162"/>
      <c r="X11" s="18"/>
      <c r="Y11" s="18"/>
      <c r="Z11" s="18"/>
    </row>
    <row r="12" spans="1:26" x14ac:dyDescent="0.25">
      <c r="A12" s="5"/>
      <c r="B12" s="11"/>
      <c r="C12" s="11"/>
      <c r="D12" s="11"/>
      <c r="E12" s="11"/>
      <c r="F12" s="11"/>
      <c r="G12" s="11"/>
      <c r="H12" s="11"/>
      <c r="I12" s="11"/>
      <c r="K12" s="5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1"/>
      <c r="W12" s="162"/>
      <c r="X12" s="18"/>
      <c r="Y12" s="18"/>
      <c r="Z12" s="18"/>
    </row>
    <row r="13" spans="1:26" x14ac:dyDescent="0.25">
      <c r="A13" s="5"/>
      <c r="B13" s="11"/>
      <c r="C13" s="11"/>
      <c r="D13" s="11"/>
      <c r="E13" s="11"/>
      <c r="F13" s="11"/>
      <c r="G13" s="11"/>
      <c r="H13" s="11"/>
      <c r="I13" s="11"/>
      <c r="K13" s="5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1"/>
      <c r="W13" s="162"/>
      <c r="X13" s="18"/>
      <c r="Y13" s="18"/>
      <c r="Z13" s="18"/>
    </row>
    <row r="14" spans="1:26" x14ac:dyDescent="0.25">
      <c r="A14" s="5"/>
      <c r="B14" s="11"/>
      <c r="C14" s="11"/>
      <c r="D14" s="11"/>
      <c r="E14" s="11"/>
      <c r="F14" s="11"/>
      <c r="G14" s="11"/>
      <c r="H14" s="11"/>
      <c r="I14" s="11"/>
      <c r="K14" s="5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1"/>
      <c r="W14" s="162"/>
      <c r="X14" s="18"/>
      <c r="Y14" s="18"/>
      <c r="Z14" s="18"/>
    </row>
    <row r="15" spans="1:26" x14ac:dyDescent="0.25">
      <c r="A15" s="5"/>
      <c r="B15" s="11"/>
      <c r="C15" s="11"/>
      <c r="D15" s="11"/>
      <c r="E15" s="11"/>
      <c r="F15" s="11"/>
      <c r="G15" s="11"/>
      <c r="H15" s="11"/>
      <c r="I15" s="11"/>
      <c r="K15" s="5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1"/>
      <c r="W15" s="162"/>
      <c r="X15" s="18"/>
      <c r="Y15" s="18"/>
      <c r="Z15" s="18"/>
    </row>
    <row r="16" spans="1:26" x14ac:dyDescent="0.25">
      <c r="A16" s="5"/>
      <c r="B16" s="11"/>
      <c r="C16" s="11"/>
      <c r="D16" s="11"/>
      <c r="E16" s="11"/>
      <c r="F16" s="11"/>
      <c r="G16" s="11"/>
      <c r="H16" s="11"/>
      <c r="I16" s="11"/>
      <c r="K16" s="5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1"/>
      <c r="W16" s="162"/>
      <c r="X16" s="18"/>
      <c r="Y16" s="18"/>
      <c r="Z16" s="18"/>
    </row>
    <row r="17" spans="1:26" x14ac:dyDescent="0.25">
      <c r="A17" s="5"/>
      <c r="B17" s="11"/>
      <c r="C17" s="11"/>
      <c r="D17" s="11"/>
      <c r="E17" s="11"/>
      <c r="F17" s="11"/>
      <c r="G17" s="11"/>
      <c r="H17" s="11"/>
      <c r="I17" s="11"/>
      <c r="K17" s="5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1"/>
      <c r="W17" s="162"/>
      <c r="X17" s="18"/>
      <c r="Y17" s="18"/>
      <c r="Z17" s="18"/>
    </row>
    <row r="18" spans="1:26" x14ac:dyDescent="0.25">
      <c r="A18" s="5"/>
      <c r="B18" s="11"/>
      <c r="C18" s="11"/>
      <c r="D18" s="11"/>
      <c r="E18" s="11"/>
      <c r="F18" s="11"/>
      <c r="G18" s="11"/>
      <c r="H18" s="11"/>
      <c r="I18" s="11"/>
      <c r="K18" s="5">
        <v>2020</v>
      </c>
      <c r="L18" s="160" cm="1">
        <f t="array" ref="L18:L48">'[1]High ZEV LDV Fuel Use'!$H$6:$H$36</f>
        <v>1.7043224042183409</v>
      </c>
      <c r="M18" s="160" cm="1">
        <f t="array" ref="M18:M48">'[1]High ZEV LDV Fuel Use'!$R$6:$R$36</f>
        <v>0</v>
      </c>
      <c r="N18" s="160" cm="1">
        <f t="array" ref="N18:N48">'[1]HIGH ZEV H2 Truck Fuel Use'!$I$6:$I$36</f>
        <v>1.7409641930168439E-18</v>
      </c>
      <c r="O18" s="160" cm="1">
        <f t="array" ref="O18:O48">'[1]HIGH ZEV H2 Truck Fuel Use'!$T$6:$T$36</f>
        <v>5.696548377493809E-9</v>
      </c>
      <c r="P18" s="160" cm="1">
        <f t="array" ref="P18:P48">'[1]HIGH ZEV H2 Truck Fuel Use'!$AE$6:$AE$36</f>
        <v>2.9973698118213492E-5</v>
      </c>
      <c r="Q18" s="160" cm="1">
        <f t="array" ref="Q18:Q48">'[1]HIGH ZEV H2 Truck Fuel Use'!$AP$6:$AP$36</f>
        <v>1.1054371459925591E-2</v>
      </c>
      <c r="R18" s="160" cm="1">
        <f t="array" ref="R18:R48">'[1]HIGH ZEV H2 Truck Fuel Use'!$BA$6:$BA$36</f>
        <v>1.7219143412509622E-10</v>
      </c>
      <c r="S18" s="160" cm="1">
        <f t="array" ref="S18:S48">'[1]HIGH ZEV H2 Truck Fuel Use'!$BL$6:$BL$36</f>
        <v>2.3176419661680292E-15</v>
      </c>
      <c r="T18" s="160" cm="1">
        <f t="array" ref="T18:T48">'[1]HIGH ZEV H2 Truck Fuel Use'!$BW$6:$BW$36</f>
        <v>5.5100834960871996E-8</v>
      </c>
      <c r="U18" s="160" cm="1">
        <f t="array" ref="U18:U48">'[1]HIGH ZEV H2 Truck Fuel Use'!$CH$6:$CH$36</f>
        <v>0</v>
      </c>
      <c r="V18" s="161">
        <f t="shared" ref="V18:V48" si="0">SUM(L18:U18)</f>
        <v>1.7154068103459617</v>
      </c>
      <c r="W18" s="162">
        <f t="shared" ref="W18:W48" si="1">V18*1000/365</f>
        <v>4.699744685879347</v>
      </c>
      <c r="X18" s="18"/>
      <c r="Y18" s="18"/>
      <c r="Z18" s="18"/>
    </row>
    <row r="19" spans="1:26" x14ac:dyDescent="0.25">
      <c r="A19" s="5"/>
      <c r="B19" s="11"/>
      <c r="C19" s="11"/>
      <c r="D19" s="11"/>
      <c r="E19" s="11"/>
      <c r="F19" s="11"/>
      <c r="G19" s="11"/>
      <c r="H19" s="11"/>
      <c r="I19" s="11"/>
      <c r="K19" s="5">
        <v>2021</v>
      </c>
      <c r="L19" s="160">
        <v>2.7070033528252524</v>
      </c>
      <c r="M19" s="160">
        <v>0.65934691708527615</v>
      </c>
      <c r="N19" s="160">
        <v>0.69264106972843698</v>
      </c>
      <c r="O19" s="160">
        <v>6.6517742162759602E-2</v>
      </c>
      <c r="P19" s="160">
        <v>3.7063143573829557E-5</v>
      </c>
      <c r="Q19" s="160">
        <v>0.1444920671545592</v>
      </c>
      <c r="R19" s="160">
        <v>2.1478339631048514E-10</v>
      </c>
      <c r="S19" s="160">
        <v>2.4538642261568847E-15</v>
      </c>
      <c r="T19" s="160">
        <v>6.8384587214574513E-8</v>
      </c>
      <c r="U19" s="160">
        <v>0</v>
      </c>
      <c r="V19" s="161">
        <f t="shared" si="0"/>
        <v>4.2700382806992314</v>
      </c>
      <c r="W19" s="162">
        <f t="shared" si="1"/>
        <v>11.698735015614332</v>
      </c>
      <c r="X19" s="18"/>
      <c r="Y19" s="18"/>
      <c r="Z19" s="18"/>
    </row>
    <row r="20" spans="1:26" x14ac:dyDescent="0.25">
      <c r="A20" s="5"/>
      <c r="B20" s="11"/>
      <c r="C20" s="11"/>
      <c r="D20" s="11"/>
      <c r="E20" s="11"/>
      <c r="F20" s="11"/>
      <c r="G20" s="11"/>
      <c r="H20" s="11"/>
      <c r="I20" s="11"/>
      <c r="K20" s="5">
        <v>2022</v>
      </c>
      <c r="L20" s="160">
        <v>4.1236588964715546</v>
      </c>
      <c r="M20" s="160">
        <v>1.9471712500736165</v>
      </c>
      <c r="N20" s="160">
        <v>2.0213641090711865</v>
      </c>
      <c r="O20" s="160">
        <v>0.19512433729122125</v>
      </c>
      <c r="P20" s="160">
        <v>4.1355054553481517E-5</v>
      </c>
      <c r="Q20" s="160">
        <v>0.40023596270947881</v>
      </c>
      <c r="R20" s="160">
        <v>2.4347334355196321E-10</v>
      </c>
      <c r="S20" s="160">
        <v>2.5097119962358492E-15</v>
      </c>
      <c r="T20" s="160">
        <v>7.7090039747165109E-8</v>
      </c>
      <c r="U20" s="160">
        <v>0</v>
      </c>
      <c r="V20" s="161">
        <f t="shared" si="0"/>
        <v>8.6875959880051248</v>
      </c>
      <c r="W20" s="162">
        <f t="shared" si="1"/>
        <v>23.801632843849656</v>
      </c>
      <c r="X20" s="18"/>
      <c r="Y20" s="18"/>
      <c r="Z20" s="18"/>
    </row>
    <row r="21" spans="1:26" x14ac:dyDescent="0.25">
      <c r="A21" s="5"/>
      <c r="B21" s="11"/>
      <c r="C21" s="11"/>
      <c r="D21" s="11"/>
      <c r="E21" s="11"/>
      <c r="F21" s="11"/>
      <c r="G21" s="11"/>
      <c r="H21" s="11"/>
      <c r="I21" s="11"/>
      <c r="K21" s="5">
        <v>2023</v>
      </c>
      <c r="L21" s="160">
        <v>5.9479427682489519</v>
      </c>
      <c r="M21" s="160">
        <v>3.8323995044887953</v>
      </c>
      <c r="N21" s="160">
        <v>3.9301722858877217</v>
      </c>
      <c r="O21" s="160">
        <v>0.38314325814539879</v>
      </c>
      <c r="P21" s="160">
        <v>4.2936710735212224E-5</v>
      </c>
      <c r="Q21" s="160">
        <v>0.80336266739491047</v>
      </c>
      <c r="R21" s="160">
        <v>2.5800211475754023E-10</v>
      </c>
      <c r="S21" s="160">
        <v>2.4940355637568761E-15</v>
      </c>
      <c r="T21" s="160">
        <v>8.1344485324922477E-8</v>
      </c>
      <c r="U21" s="160">
        <v>0</v>
      </c>
      <c r="V21" s="161">
        <f t="shared" si="0"/>
        <v>14.897063502479002</v>
      </c>
      <c r="W21" s="162">
        <f t="shared" si="1"/>
        <v>40.813872609531508</v>
      </c>
      <c r="X21" s="18"/>
      <c r="Y21" s="18"/>
      <c r="Z21" s="18"/>
    </row>
    <row r="22" spans="1:26" x14ac:dyDescent="0.25">
      <c r="A22" s="5"/>
      <c r="B22" s="11"/>
      <c r="C22" s="11"/>
      <c r="D22" s="11"/>
      <c r="E22" s="11"/>
      <c r="F22" s="11"/>
      <c r="G22" s="11"/>
      <c r="H22" s="11"/>
      <c r="I22" s="11"/>
      <c r="K22" s="5">
        <v>2024</v>
      </c>
      <c r="L22" s="160">
        <v>8.1335576403701921</v>
      </c>
      <c r="M22" s="160">
        <v>6.2954795069352567</v>
      </c>
      <c r="N22" s="160">
        <v>6.3151586180354586</v>
      </c>
      <c r="O22" s="160">
        <v>0.62036877296884685</v>
      </c>
      <c r="P22" s="160">
        <v>4.1911488485998171E-5</v>
      </c>
      <c r="Q22" s="160">
        <v>1.338502191160323</v>
      </c>
      <c r="R22" s="160">
        <v>2.5760524183003934E-10</v>
      </c>
      <c r="S22" s="160">
        <v>2.4120877420248988E-15</v>
      </c>
      <c r="T22" s="160">
        <v>8.1410645303231478E-8</v>
      </c>
      <c r="U22" s="160">
        <v>0</v>
      </c>
      <c r="V22" s="161">
        <f t="shared" si="0"/>
        <v>22.703108722626816</v>
      </c>
      <c r="W22" s="162">
        <f t="shared" si="1"/>
        <v>62.200297870210456</v>
      </c>
      <c r="X22" s="18"/>
      <c r="Y22" s="18"/>
      <c r="Z22" s="18"/>
    </row>
    <row r="23" spans="1:26" x14ac:dyDescent="0.25">
      <c r="A23" s="5"/>
      <c r="B23" s="11"/>
      <c r="C23" s="11"/>
      <c r="D23" s="11"/>
      <c r="E23" s="11"/>
      <c r="F23" s="11"/>
      <c r="G23" s="11"/>
      <c r="H23" s="11"/>
      <c r="I23" s="11"/>
      <c r="K23" s="5">
        <v>2025</v>
      </c>
      <c r="L23" s="160">
        <v>10.712537160833442</v>
      </c>
      <c r="M23" s="160">
        <v>9.3697001726140137</v>
      </c>
      <c r="N23" s="160">
        <v>9.0896545092712255</v>
      </c>
      <c r="O23" s="160">
        <v>0.90312811592406417</v>
      </c>
      <c r="P23" s="160">
        <v>3.8486344863274606E-5</v>
      </c>
      <c r="Q23" s="160">
        <v>1.9969361553249039</v>
      </c>
      <c r="R23" s="160">
        <v>2.4361074720122962E-10</v>
      </c>
      <c r="S23" s="160">
        <v>2.2693865309827197E-15</v>
      </c>
      <c r="T23" s="160">
        <v>7.7630661494475127E-8</v>
      </c>
      <c r="U23" s="160">
        <v>0</v>
      </c>
      <c r="V23" s="161">
        <f t="shared" si="0"/>
        <v>32.071994678186783</v>
      </c>
      <c r="W23" s="162">
        <f t="shared" si="1"/>
        <v>87.868478570374748</v>
      </c>
      <c r="X23" s="18"/>
      <c r="Y23" s="18"/>
      <c r="Z23" s="18"/>
    </row>
    <row r="24" spans="1:26" x14ac:dyDescent="0.25">
      <c r="A24" s="5"/>
      <c r="B24" s="11"/>
      <c r="C24" s="11"/>
      <c r="D24" s="11"/>
      <c r="E24" s="11"/>
      <c r="F24" s="11"/>
      <c r="G24" s="11"/>
      <c r="H24" s="11"/>
      <c r="I24" s="11"/>
      <c r="K24" s="5">
        <v>2026</v>
      </c>
      <c r="L24" s="160">
        <v>19.139637071689812</v>
      </c>
      <c r="M24" s="160">
        <v>19.077140845575233</v>
      </c>
      <c r="N24" s="160">
        <v>17.749783958437362</v>
      </c>
      <c r="O24" s="160">
        <v>1.5322419844274411</v>
      </c>
      <c r="P24" s="160">
        <v>0.68917614834343066</v>
      </c>
      <c r="Q24" s="160">
        <v>2.7592709722975917</v>
      </c>
      <c r="R24" s="160">
        <v>5.8654790785916518E-2</v>
      </c>
      <c r="S24" s="160">
        <v>0.25548512292450459</v>
      </c>
      <c r="T24" s="160">
        <v>1.3699286839846463E-2</v>
      </c>
      <c r="U24" s="160">
        <v>0.86670867265009111</v>
      </c>
      <c r="V24" s="161">
        <f t="shared" si="0"/>
        <v>62.141798853971231</v>
      </c>
      <c r="W24" s="162">
        <f t="shared" si="1"/>
        <v>170.25150370951022</v>
      </c>
      <c r="X24" s="18"/>
      <c r="Y24" s="18"/>
      <c r="Z24" s="18"/>
    </row>
    <row r="25" spans="1:26" x14ac:dyDescent="0.25">
      <c r="A25" s="5"/>
      <c r="B25" s="11"/>
      <c r="C25" s="11"/>
      <c r="D25" s="11"/>
      <c r="E25" s="11"/>
      <c r="F25" s="11"/>
      <c r="G25" s="11"/>
      <c r="H25" s="11"/>
      <c r="I25" s="11"/>
      <c r="K25" s="5">
        <v>2027</v>
      </c>
      <c r="L25" s="160">
        <v>32.716880602501227</v>
      </c>
      <c r="M25" s="160">
        <v>34.721493389063468</v>
      </c>
      <c r="N25" s="160">
        <v>32.133980964585099</v>
      </c>
      <c r="O25" s="160">
        <v>2.5063514029815872</v>
      </c>
      <c r="P25" s="160">
        <v>2.07544280139297</v>
      </c>
      <c r="Q25" s="160">
        <v>3.6216079100007588</v>
      </c>
      <c r="R25" s="160">
        <v>0.17592957234543719</v>
      </c>
      <c r="S25" s="160">
        <v>0.76260859545622539</v>
      </c>
      <c r="T25" s="160">
        <v>4.0972498787429208E-2</v>
      </c>
      <c r="U25" s="160">
        <v>2.5600347823447396</v>
      </c>
      <c r="V25" s="161">
        <f t="shared" si="0"/>
        <v>111.31530251945897</v>
      </c>
      <c r="W25" s="162">
        <f t="shared" si="1"/>
        <v>304.97343156016154</v>
      </c>
      <c r="X25" s="18"/>
      <c r="Y25" s="18"/>
      <c r="Z25" s="18"/>
    </row>
    <row r="26" spans="1:26" x14ac:dyDescent="0.25">
      <c r="A26" s="5"/>
      <c r="B26" s="11"/>
      <c r="C26" s="11"/>
      <c r="D26" s="11"/>
      <c r="E26" s="11"/>
      <c r="F26" s="11"/>
      <c r="G26" s="11"/>
      <c r="H26" s="11"/>
      <c r="I26" s="11"/>
      <c r="K26" s="5">
        <v>2028</v>
      </c>
      <c r="L26" s="160">
        <v>50.795520500442024</v>
      </c>
      <c r="M26" s="160">
        <v>55.759660756009033</v>
      </c>
      <c r="N26" s="160">
        <v>51.989270504521755</v>
      </c>
      <c r="O26" s="160">
        <v>3.8284890467882788</v>
      </c>
      <c r="P26" s="160">
        <v>4.1395653897633409</v>
      </c>
      <c r="Q26" s="160">
        <v>4.5960086313676305</v>
      </c>
      <c r="R26" s="160">
        <v>0.35146186532346979</v>
      </c>
      <c r="S26" s="160">
        <v>1.5143641150749612</v>
      </c>
      <c r="T26" s="160">
        <v>8.1531660873095296E-2</v>
      </c>
      <c r="U26" s="160">
        <v>4.957311647734608</v>
      </c>
      <c r="V26" s="161">
        <f t="shared" si="0"/>
        <v>178.01318411789816</v>
      </c>
      <c r="W26" s="162">
        <f t="shared" si="1"/>
        <v>487.70735374766622</v>
      </c>
      <c r="X26" s="18"/>
      <c r="Y26" s="18"/>
      <c r="Z26" s="18"/>
    </row>
    <row r="27" spans="1:26" x14ac:dyDescent="0.25">
      <c r="A27" s="5"/>
      <c r="B27" s="11"/>
      <c r="C27" s="11"/>
      <c r="D27" s="11"/>
      <c r="E27" s="11"/>
      <c r="F27" s="11"/>
      <c r="G27" s="11"/>
      <c r="H27" s="11"/>
      <c r="I27" s="11"/>
      <c r="K27" s="5">
        <v>2029</v>
      </c>
      <c r="L27" s="160">
        <v>72.911833636307804</v>
      </c>
      <c r="M27" s="160">
        <v>81.780237641896861</v>
      </c>
      <c r="N27" s="160">
        <v>76.670922296519592</v>
      </c>
      <c r="O27" s="160">
        <v>5.4637432549664524</v>
      </c>
      <c r="P27" s="160">
        <v>6.859708321539677</v>
      </c>
      <c r="Q27" s="160">
        <v>5.6840036792823243</v>
      </c>
      <c r="R27" s="160">
        <v>0.58596624966234212</v>
      </c>
      <c r="S27" s="160">
        <v>2.5115768241443428</v>
      </c>
      <c r="T27" s="160">
        <v>0.13483895862725989</v>
      </c>
      <c r="U27" s="160">
        <v>7.9606048620406149</v>
      </c>
      <c r="V27" s="161">
        <f t="shared" si="0"/>
        <v>260.56343572498724</v>
      </c>
      <c r="W27" s="162">
        <f t="shared" si="1"/>
        <v>713.87242664380062</v>
      </c>
      <c r="X27" s="18"/>
      <c r="Y27" s="18"/>
      <c r="Z27" s="18"/>
    </row>
    <row r="28" spans="1:26" x14ac:dyDescent="0.25">
      <c r="A28" s="5"/>
      <c r="B28" s="11"/>
      <c r="C28" s="11"/>
      <c r="D28" s="11"/>
      <c r="E28" s="11"/>
      <c r="F28" s="11"/>
      <c r="G28" s="11"/>
      <c r="H28" s="11"/>
      <c r="I28" s="11"/>
      <c r="K28" s="5">
        <v>2030</v>
      </c>
      <c r="L28" s="160">
        <v>98.69857527724777</v>
      </c>
      <c r="M28" s="160">
        <v>112.38650085089509</v>
      </c>
      <c r="N28" s="160">
        <v>105.61095400238541</v>
      </c>
      <c r="O28" s="160">
        <v>7.403501750907421</v>
      </c>
      <c r="P28" s="160">
        <v>10.197753068367312</v>
      </c>
      <c r="Q28" s="160">
        <v>6.8804426213333345</v>
      </c>
      <c r="R28" s="160">
        <v>0.87587952466572128</v>
      </c>
      <c r="S28" s="160">
        <v>3.7398946941172255</v>
      </c>
      <c r="T28" s="160">
        <v>0.20014668519989562</v>
      </c>
      <c r="U28" s="160">
        <v>11.488019114200268</v>
      </c>
      <c r="V28" s="161">
        <f t="shared" si="0"/>
        <v>357.4816675893195</v>
      </c>
      <c r="W28" s="162">
        <f t="shared" si="1"/>
        <v>979.40182901183425</v>
      </c>
      <c r="X28" s="18"/>
      <c r="Y28" s="18"/>
      <c r="Z28" s="18"/>
    </row>
    <row r="29" spans="1:26" x14ac:dyDescent="0.25">
      <c r="A29" s="5"/>
      <c r="B29" s="11"/>
      <c r="C29" s="11"/>
      <c r="D29" s="11"/>
      <c r="E29" s="11"/>
      <c r="F29" s="11"/>
      <c r="G29" s="11"/>
      <c r="H29" s="11"/>
      <c r="I29" s="11"/>
      <c r="K29" s="5">
        <v>2031</v>
      </c>
      <c r="L29" s="160">
        <v>128.59079368978655</v>
      </c>
      <c r="M29" s="160">
        <v>148.02212260319837</v>
      </c>
      <c r="N29" s="160">
        <v>139.77802464404624</v>
      </c>
      <c r="O29" s="160">
        <v>9.5162665458918045</v>
      </c>
      <c r="P29" s="160">
        <v>14.814130748424356</v>
      </c>
      <c r="Q29" s="160">
        <v>8.1838790885293946</v>
      </c>
      <c r="R29" s="160">
        <v>1.2893151531039289</v>
      </c>
      <c r="S29" s="160">
        <v>5.4271500587957924</v>
      </c>
      <c r="T29" s="160">
        <v>0.30394384838747518</v>
      </c>
      <c r="U29" s="160">
        <v>16.067559485460237</v>
      </c>
      <c r="V29" s="161">
        <f t="shared" si="0"/>
        <v>471.99318586562413</v>
      </c>
      <c r="W29" s="162">
        <f t="shared" si="1"/>
        <v>1293.132016070203</v>
      </c>
      <c r="X29" s="18"/>
      <c r="Y29" s="18"/>
      <c r="Z29" s="18"/>
    </row>
    <row r="30" spans="1:26" x14ac:dyDescent="0.25">
      <c r="A30" s="5"/>
      <c r="B30" s="11"/>
      <c r="C30" s="11"/>
      <c r="D30" s="11"/>
      <c r="E30" s="11"/>
      <c r="F30" s="11"/>
      <c r="G30" s="11"/>
      <c r="H30" s="11"/>
      <c r="I30" s="11"/>
      <c r="K30" s="5">
        <v>2032</v>
      </c>
      <c r="L30" s="160">
        <v>162.2029988812271</v>
      </c>
      <c r="M30" s="160">
        <v>188.37194359565765</v>
      </c>
      <c r="N30" s="160">
        <v>178.83002314412431</v>
      </c>
      <c r="O30" s="160">
        <v>11.80601824343627</v>
      </c>
      <c r="P30" s="160">
        <v>20.662622218722703</v>
      </c>
      <c r="Q30" s="160">
        <v>9.5808173324556734</v>
      </c>
      <c r="R30" s="160">
        <v>1.8218123400753889</v>
      </c>
      <c r="S30" s="160">
        <v>7.5482165215005672</v>
      </c>
      <c r="T30" s="160">
        <v>0.4455108790288887</v>
      </c>
      <c r="U30" s="160">
        <v>21.643845704305161</v>
      </c>
      <c r="V30" s="161">
        <f t="shared" si="0"/>
        <v>602.91380886053378</v>
      </c>
      <c r="W30" s="162">
        <f t="shared" si="1"/>
        <v>1651.8186544124212</v>
      </c>
      <c r="X30" s="18"/>
      <c r="Y30" s="18"/>
      <c r="Z30" s="18"/>
    </row>
    <row r="31" spans="1:26" x14ac:dyDescent="0.25">
      <c r="A31" s="5"/>
      <c r="B31" s="11"/>
      <c r="C31" s="11"/>
      <c r="D31" s="11"/>
      <c r="E31" s="11"/>
      <c r="F31" s="11"/>
      <c r="G31" s="11"/>
      <c r="H31" s="11"/>
      <c r="I31" s="11"/>
      <c r="K31" s="5">
        <v>2033</v>
      </c>
      <c r="L31" s="160">
        <v>199.21910778152315</v>
      </c>
      <c r="M31" s="160">
        <v>233.17172444196802</v>
      </c>
      <c r="N31" s="160">
        <v>222.04131662494694</v>
      </c>
      <c r="O31" s="160">
        <v>14.267215702464416</v>
      </c>
      <c r="P31" s="160">
        <v>27.672157369220283</v>
      </c>
      <c r="Q31" s="160">
        <v>11.076813740194151</v>
      </c>
      <c r="R31" s="160">
        <v>2.4676889246504334</v>
      </c>
      <c r="S31" s="160">
        <v>10.073246199656685</v>
      </c>
      <c r="T31" s="160">
        <v>0.62348428895191388</v>
      </c>
      <c r="U31" s="160">
        <v>28.103864265363885</v>
      </c>
      <c r="V31" s="161">
        <f t="shared" si="0"/>
        <v>748.71661933893984</v>
      </c>
      <c r="W31" s="162">
        <f t="shared" si="1"/>
        <v>2051.2784091477802</v>
      </c>
      <c r="X31" s="18"/>
      <c r="Y31" s="18"/>
      <c r="Z31" s="18"/>
    </row>
    <row r="32" spans="1:26" x14ac:dyDescent="0.25">
      <c r="A32" s="5"/>
      <c r="B32" s="11"/>
      <c r="C32" s="11"/>
      <c r="D32" s="11"/>
      <c r="E32" s="11"/>
      <c r="F32" s="11"/>
      <c r="G32" s="11"/>
      <c r="H32" s="11"/>
      <c r="I32" s="11"/>
      <c r="K32" s="5">
        <v>2034</v>
      </c>
      <c r="L32" s="160">
        <v>239.33007599283786</v>
      </c>
      <c r="M32" s="160">
        <v>282.15523908174652</v>
      </c>
      <c r="N32" s="160">
        <v>268.8585716012164</v>
      </c>
      <c r="O32" s="160">
        <v>16.897749722834266</v>
      </c>
      <c r="P32" s="160">
        <v>35.773710570467784</v>
      </c>
      <c r="Q32" s="160">
        <v>12.661527152931949</v>
      </c>
      <c r="R32" s="160">
        <v>3.22252006946341</v>
      </c>
      <c r="S32" s="160">
        <v>12.983490525857464</v>
      </c>
      <c r="T32" s="160">
        <v>0.83609089300368722</v>
      </c>
      <c r="U32" s="160">
        <v>35.351065096378967</v>
      </c>
      <c r="V32" s="161">
        <f t="shared" si="0"/>
        <v>908.07004070673838</v>
      </c>
      <c r="W32" s="162">
        <f t="shared" si="1"/>
        <v>2487.8631252239406</v>
      </c>
      <c r="X32" s="18"/>
      <c r="Y32" s="18"/>
      <c r="Z32" s="18"/>
    </row>
    <row r="33" spans="1:26" x14ac:dyDescent="0.25">
      <c r="A33" s="5"/>
      <c r="B33" s="11"/>
      <c r="C33" s="11"/>
      <c r="D33" s="11"/>
      <c r="E33" s="11"/>
      <c r="F33" s="11"/>
      <c r="G33" s="11"/>
      <c r="H33" s="11"/>
      <c r="I33" s="11"/>
      <c r="K33" s="5">
        <v>2035</v>
      </c>
      <c r="L33" s="160">
        <v>281.66338591320664</v>
      </c>
      <c r="M33" s="160">
        <v>334.36212574096646</v>
      </c>
      <c r="N33" s="160">
        <v>318.76102033836611</v>
      </c>
      <c r="O33" s="160">
        <v>19.683166032230112</v>
      </c>
      <c r="P33" s="160">
        <v>44.885854646214952</v>
      </c>
      <c r="Q33" s="160">
        <v>14.313509877509052</v>
      </c>
      <c r="R33" s="160">
        <v>4.0787546690632297</v>
      </c>
      <c r="S33" s="160">
        <v>16.254094442684007</v>
      </c>
      <c r="T33" s="160">
        <v>1.0811009794830093</v>
      </c>
      <c r="U33" s="160">
        <v>43.303859874584589</v>
      </c>
      <c r="V33" s="161">
        <f t="shared" si="0"/>
        <v>1078.3868725143082</v>
      </c>
      <c r="W33" s="162">
        <f t="shared" si="1"/>
        <v>2954.4845822309812</v>
      </c>
      <c r="X33" s="18"/>
      <c r="Y33" s="18"/>
      <c r="Z33" s="18"/>
    </row>
    <row r="34" spans="1:26" x14ac:dyDescent="0.25">
      <c r="A34" s="5"/>
      <c r="B34" s="11"/>
      <c r="C34" s="11"/>
      <c r="D34" s="11"/>
      <c r="E34" s="11"/>
      <c r="F34" s="11"/>
      <c r="G34" s="11"/>
      <c r="H34" s="11"/>
      <c r="I34" s="11"/>
      <c r="K34" s="5">
        <v>2036</v>
      </c>
      <c r="L34" s="160">
        <v>332.25733510411249</v>
      </c>
      <c r="M34" s="160">
        <v>396.86395777010512</v>
      </c>
      <c r="N34" s="160">
        <v>369.02658636937457</v>
      </c>
      <c r="O34" s="160">
        <v>22.554627391663157</v>
      </c>
      <c r="P34" s="160">
        <v>54.917148153381461</v>
      </c>
      <c r="Q34" s="160">
        <v>16.076924301554357</v>
      </c>
      <c r="R34" s="160">
        <v>5.0065467892739122</v>
      </c>
      <c r="S34" s="160">
        <v>19.856811040650609</v>
      </c>
      <c r="T34" s="160">
        <v>1.3299957418053456</v>
      </c>
      <c r="U34" s="160">
        <v>51.110179984401938</v>
      </c>
      <c r="V34" s="161">
        <f t="shared" si="0"/>
        <v>1269.0001126463228</v>
      </c>
      <c r="W34" s="162">
        <f t="shared" si="1"/>
        <v>3476.7126373871856</v>
      </c>
      <c r="X34" s="18"/>
      <c r="Y34" s="18"/>
      <c r="Z34" s="18"/>
    </row>
    <row r="35" spans="1:26" x14ac:dyDescent="0.25">
      <c r="A35" s="5"/>
      <c r="B35" s="11"/>
      <c r="C35" s="11"/>
      <c r="D35" s="11"/>
      <c r="E35" s="11"/>
      <c r="F35" s="11"/>
      <c r="G35" s="11"/>
      <c r="H35" s="11"/>
      <c r="I35" s="11"/>
      <c r="K35" s="5">
        <v>2037</v>
      </c>
      <c r="L35" s="160">
        <v>391.19679178105849</v>
      </c>
      <c r="M35" s="160">
        <v>469.98989284021042</v>
      </c>
      <c r="N35" s="160">
        <v>419.34541786468662</v>
      </c>
      <c r="O35" s="160">
        <v>25.500565255066078</v>
      </c>
      <c r="P35" s="160">
        <v>65.784018909851085</v>
      </c>
      <c r="Q35" s="160">
        <v>17.943646557039465</v>
      </c>
      <c r="R35" s="160">
        <v>5.9965751230230273</v>
      </c>
      <c r="S35" s="160">
        <v>23.762474152132015</v>
      </c>
      <c r="T35" s="160">
        <v>1.5809230980236149</v>
      </c>
      <c r="U35" s="160">
        <v>58.708744356067783</v>
      </c>
      <c r="V35" s="161">
        <f t="shared" si="0"/>
        <v>1479.8090499371583</v>
      </c>
      <c r="W35" s="162">
        <f t="shared" si="1"/>
        <v>4054.2713696908449</v>
      </c>
      <c r="X35" s="18"/>
      <c r="Y35" s="18"/>
      <c r="Z35" s="18"/>
    </row>
    <row r="36" spans="1:26" x14ac:dyDescent="0.25">
      <c r="A36" s="5"/>
      <c r="B36" s="11"/>
      <c r="C36" s="11"/>
      <c r="D36" s="11"/>
      <c r="E36" s="11"/>
      <c r="F36" s="11"/>
      <c r="G36" s="11"/>
      <c r="H36" s="11"/>
      <c r="I36" s="11"/>
      <c r="K36" s="5">
        <v>2038</v>
      </c>
      <c r="L36" s="160">
        <v>456.80862171056742</v>
      </c>
      <c r="M36" s="160">
        <v>551.93656849790159</v>
      </c>
      <c r="N36" s="160">
        <v>469.32867009806768</v>
      </c>
      <c r="O36" s="160">
        <v>28.50076788016673</v>
      </c>
      <c r="P36" s="160">
        <v>77.406044487383909</v>
      </c>
      <c r="Q36" s="160">
        <v>19.934094453235641</v>
      </c>
      <c r="R36" s="160">
        <v>7.0401121469016754</v>
      </c>
      <c r="S36" s="160">
        <v>27.940206314659754</v>
      </c>
      <c r="T36" s="160">
        <v>1.8318167308234821</v>
      </c>
      <c r="U36" s="160">
        <v>66.116226842773742</v>
      </c>
      <c r="V36" s="161">
        <f t="shared" si="0"/>
        <v>1706.8431291624818</v>
      </c>
      <c r="W36" s="162">
        <f t="shared" si="1"/>
        <v>4676.2825456506353</v>
      </c>
      <c r="X36" s="18"/>
      <c r="Y36" s="18"/>
      <c r="Z36" s="18"/>
    </row>
    <row r="37" spans="1:26" x14ac:dyDescent="0.25">
      <c r="A37" s="5"/>
      <c r="B37" s="11"/>
      <c r="C37" s="11"/>
      <c r="D37" s="11"/>
      <c r="E37" s="11"/>
      <c r="F37" s="11"/>
      <c r="G37" s="11"/>
      <c r="H37" s="11"/>
      <c r="I37" s="11"/>
      <c r="K37" s="5">
        <v>2039</v>
      </c>
      <c r="L37" s="160">
        <v>528.41883515768916</v>
      </c>
      <c r="M37" s="160">
        <v>642.03788905049532</v>
      </c>
      <c r="N37" s="160">
        <v>518.86501056967484</v>
      </c>
      <c r="O37" s="160">
        <v>31.539809892426945</v>
      </c>
      <c r="P37" s="160">
        <v>89.710785929343729</v>
      </c>
      <c r="Q37" s="160">
        <v>22.045513884256764</v>
      </c>
      <c r="R37" s="160">
        <v>8.1264297371349397</v>
      </c>
      <c r="S37" s="160">
        <v>32.361177790090494</v>
      </c>
      <c r="T37" s="160">
        <v>2.0813735412313306</v>
      </c>
      <c r="U37" s="160">
        <v>73.337967936874179</v>
      </c>
      <c r="V37" s="161">
        <f t="shared" si="0"/>
        <v>1948.5247934892177</v>
      </c>
      <c r="W37" s="162">
        <f t="shared" si="1"/>
        <v>5338.4240917512816</v>
      </c>
      <c r="X37" s="18"/>
      <c r="Y37" s="18"/>
      <c r="Z37" s="18"/>
    </row>
    <row r="38" spans="1:26" x14ac:dyDescent="0.25">
      <c r="A38" s="5"/>
      <c r="B38" s="11"/>
      <c r="C38" s="11"/>
      <c r="D38" s="11"/>
      <c r="E38" s="11"/>
      <c r="F38" s="11"/>
      <c r="G38" s="11"/>
      <c r="H38" s="11"/>
      <c r="I38" s="11"/>
      <c r="K38" s="5">
        <v>2040</v>
      </c>
      <c r="L38" s="160">
        <v>605.45966901740189</v>
      </c>
      <c r="M38" s="160">
        <v>739.64154792206966</v>
      </c>
      <c r="N38" s="160">
        <v>567.82525002773491</v>
      </c>
      <c r="O38" s="160">
        <v>34.592555620111519</v>
      </c>
      <c r="P38" s="160">
        <v>102.62714568564661</v>
      </c>
      <c r="Q38" s="160">
        <v>24.271685432859677</v>
      </c>
      <c r="R38" s="160">
        <v>9.2501612368947228</v>
      </c>
      <c r="S38" s="160">
        <v>37.000048141663548</v>
      </c>
      <c r="T38" s="160">
        <v>2.328473652698948</v>
      </c>
      <c r="U38" s="160">
        <v>80.371872740153805</v>
      </c>
      <c r="V38" s="161">
        <f t="shared" si="0"/>
        <v>2203.3684094772357</v>
      </c>
      <c r="W38" s="162">
        <f t="shared" si="1"/>
        <v>6036.6257793896866</v>
      </c>
      <c r="X38" s="18"/>
      <c r="Y38" s="18"/>
      <c r="Z38" s="18"/>
    </row>
    <row r="39" spans="1:26" x14ac:dyDescent="0.25">
      <c r="A39" s="5"/>
      <c r="B39" s="11"/>
      <c r="C39" s="11"/>
      <c r="D39" s="11"/>
      <c r="E39" s="11"/>
      <c r="F39" s="11"/>
      <c r="G39" s="11"/>
      <c r="H39" s="11"/>
      <c r="I39" s="11"/>
      <c r="K39" s="5">
        <v>2041</v>
      </c>
      <c r="L39" s="160">
        <v>675.99858146786846</v>
      </c>
      <c r="M39" s="160">
        <v>830.85496447569585</v>
      </c>
      <c r="N39" s="160">
        <v>612.42768646570778</v>
      </c>
      <c r="O39" s="160">
        <v>37.693015951148134</v>
      </c>
      <c r="P39" s="160">
        <v>114.59925725705065</v>
      </c>
      <c r="Q39" s="160">
        <v>26.392396873965566</v>
      </c>
      <c r="R39" s="160">
        <v>10.299626658555864</v>
      </c>
      <c r="S39" s="160">
        <v>41.366115220896141</v>
      </c>
      <c r="T39" s="160">
        <v>2.5588171409440372</v>
      </c>
      <c r="U39" s="160">
        <v>86.708313743752299</v>
      </c>
      <c r="V39" s="161">
        <f t="shared" si="0"/>
        <v>2438.8987752555845</v>
      </c>
      <c r="W39" s="162">
        <f t="shared" si="1"/>
        <v>6681.9144527550261</v>
      </c>
      <c r="X39" s="18"/>
      <c r="Y39" s="18"/>
      <c r="Z39" s="18"/>
    </row>
    <row r="40" spans="1:26" x14ac:dyDescent="0.25">
      <c r="A40" s="5"/>
      <c r="B40" s="11"/>
      <c r="C40" s="11"/>
      <c r="D40" s="11"/>
      <c r="E40" s="11"/>
      <c r="F40" s="11"/>
      <c r="G40" s="11"/>
      <c r="H40" s="11"/>
      <c r="I40" s="11"/>
      <c r="K40" s="5">
        <v>2042</v>
      </c>
      <c r="L40" s="160">
        <v>741.06717634628774</v>
      </c>
      <c r="M40" s="160">
        <v>916.78384301371216</v>
      </c>
      <c r="N40" s="160">
        <v>652.66570672375087</v>
      </c>
      <c r="O40" s="160">
        <v>40.837846638197838</v>
      </c>
      <c r="P40" s="160">
        <v>125.57233347433392</v>
      </c>
      <c r="Q40" s="160">
        <v>28.404253075009276</v>
      </c>
      <c r="R40" s="160">
        <v>11.270024564957126</v>
      </c>
      <c r="S40" s="160">
        <v>45.447102007830047</v>
      </c>
      <c r="T40" s="160">
        <v>2.7716868291451369</v>
      </c>
      <c r="U40" s="160">
        <v>92.355659808875345</v>
      </c>
      <c r="V40" s="161">
        <f t="shared" si="0"/>
        <v>2657.175632482099</v>
      </c>
      <c r="W40" s="162">
        <f t="shared" si="1"/>
        <v>7279.9332396769832</v>
      </c>
      <c r="X40" s="18"/>
      <c r="Y40" s="18"/>
      <c r="Z40" s="18"/>
    </row>
    <row r="41" spans="1:26" x14ac:dyDescent="0.25">
      <c r="A41" s="5"/>
      <c r="B41" s="11"/>
      <c r="C41" s="11"/>
      <c r="D41" s="11"/>
      <c r="E41" s="11"/>
      <c r="F41" s="11"/>
      <c r="G41" s="11"/>
      <c r="H41" s="11"/>
      <c r="I41" s="11"/>
      <c r="K41" s="5">
        <v>2043</v>
      </c>
      <c r="L41" s="160">
        <v>801.28870725552667</v>
      </c>
      <c r="M41" s="160">
        <v>998.08613110794363</v>
      </c>
      <c r="N41" s="160">
        <v>688.70009854405237</v>
      </c>
      <c r="O41" s="160">
        <v>43.994382223653709</v>
      </c>
      <c r="P41" s="160">
        <v>135.5653091661658</v>
      </c>
      <c r="Q41" s="160">
        <v>30.235936954867256</v>
      </c>
      <c r="R41" s="160">
        <v>12.160090884286198</v>
      </c>
      <c r="S41" s="160">
        <v>49.237030909993393</v>
      </c>
      <c r="T41" s="160">
        <v>2.967405007391311</v>
      </c>
      <c r="U41" s="160">
        <v>97.395073170208718</v>
      </c>
      <c r="V41" s="161">
        <f t="shared" si="0"/>
        <v>2859.6301652240886</v>
      </c>
      <c r="W41" s="162">
        <f t="shared" si="1"/>
        <v>7834.6031923947639</v>
      </c>
      <c r="X41" s="18"/>
      <c r="Y41" s="18"/>
      <c r="Z41" s="18"/>
    </row>
    <row r="42" spans="1:26" x14ac:dyDescent="0.25">
      <c r="A42" s="5"/>
      <c r="B42" s="11"/>
      <c r="C42" s="11"/>
      <c r="D42" s="11"/>
      <c r="E42" s="11"/>
      <c r="F42" s="11"/>
      <c r="G42" s="11"/>
      <c r="H42" s="11"/>
      <c r="I42" s="11"/>
      <c r="K42" s="5">
        <v>2044</v>
      </c>
      <c r="L42" s="160">
        <v>856.92517271950305</v>
      </c>
      <c r="M42" s="160">
        <v>1075.0511265318737</v>
      </c>
      <c r="N42" s="160">
        <v>720.93385956866769</v>
      </c>
      <c r="O42" s="160">
        <v>47.154236303016361</v>
      </c>
      <c r="P42" s="160">
        <v>144.60416984922813</v>
      </c>
      <c r="Q42" s="160">
        <v>31.901086120193039</v>
      </c>
      <c r="R42" s="160">
        <v>12.964001904799419</v>
      </c>
      <c r="S42" s="160">
        <v>52.714827755846123</v>
      </c>
      <c r="T42" s="160">
        <v>3.1466329903262471</v>
      </c>
      <c r="U42" s="160">
        <v>101.89425923159187</v>
      </c>
      <c r="V42" s="161">
        <f>SUM(L42:U42)</f>
        <v>3047.2893729750463</v>
      </c>
      <c r="W42" s="162">
        <f t="shared" si="1"/>
        <v>8348.7380081508109</v>
      </c>
      <c r="X42" s="18"/>
      <c r="Y42" s="18"/>
      <c r="Z42" s="18"/>
    </row>
    <row r="43" spans="1:26" x14ac:dyDescent="0.25">
      <c r="A43" s="5"/>
      <c r="B43" s="11"/>
      <c r="C43" s="11"/>
      <c r="D43" s="11"/>
      <c r="E43" s="11"/>
      <c r="F43" s="11"/>
      <c r="G43" s="11"/>
      <c r="H43" s="11"/>
      <c r="I43" s="11"/>
      <c r="K43" s="5">
        <v>2045</v>
      </c>
      <c r="L43" s="160">
        <v>908.11602292391262</v>
      </c>
      <c r="M43" s="160">
        <v>1147.9747036001934</v>
      </c>
      <c r="N43" s="160">
        <v>749.71299440580844</v>
      </c>
      <c r="O43" s="160">
        <v>50.318816175674037</v>
      </c>
      <c r="P43" s="160">
        <v>152.74734679981518</v>
      </c>
      <c r="Q43" s="160">
        <v>33.398322007131867</v>
      </c>
      <c r="R43" s="160">
        <v>13.685555655260314</v>
      </c>
      <c r="S43" s="160">
        <v>55.881828120427251</v>
      </c>
      <c r="T43" s="160">
        <v>3.3100037181205324</v>
      </c>
      <c r="U43" s="160">
        <v>105.9057280525716</v>
      </c>
      <c r="V43" s="161">
        <f t="shared" si="0"/>
        <v>3221.051321458915</v>
      </c>
      <c r="W43" s="162">
        <f t="shared" si="1"/>
        <v>8824.7981409833301</v>
      </c>
      <c r="X43" s="18"/>
      <c r="Y43" s="18"/>
      <c r="Z43" s="18"/>
    </row>
    <row r="44" spans="1:26" x14ac:dyDescent="0.25">
      <c r="A44" s="5"/>
      <c r="B44" s="11"/>
      <c r="C44" s="11"/>
      <c r="D44" s="11"/>
      <c r="E44" s="11"/>
      <c r="F44" s="11"/>
      <c r="G44" s="11"/>
      <c r="H44" s="11"/>
      <c r="I44" s="11"/>
      <c r="K44" s="5">
        <v>2046</v>
      </c>
      <c r="L44" s="160">
        <v>955.6485281433396</v>
      </c>
      <c r="M44" s="160">
        <v>1217.6100288506852</v>
      </c>
      <c r="N44" s="160">
        <v>774.40145769923492</v>
      </c>
      <c r="O44" s="160">
        <v>53.251467319620026</v>
      </c>
      <c r="P44" s="160">
        <v>160.06795647976574</v>
      </c>
      <c r="Q44" s="160">
        <v>34.755096763348298</v>
      </c>
      <c r="R44" s="160">
        <v>14.326354981934264</v>
      </c>
      <c r="S44" s="160">
        <v>58.747422886082077</v>
      </c>
      <c r="T44" s="160">
        <v>3.4575777670652474</v>
      </c>
      <c r="U44" s="160">
        <v>109.46507018964098</v>
      </c>
      <c r="V44" s="161">
        <f t="shared" si="0"/>
        <v>3381.730961080716</v>
      </c>
      <c r="W44" s="162">
        <f t="shared" si="1"/>
        <v>9265.0163317279894</v>
      </c>
      <c r="X44" s="18"/>
      <c r="Y44" s="18"/>
      <c r="Z44" s="18"/>
    </row>
    <row r="45" spans="1:26" x14ac:dyDescent="0.25">
      <c r="A45" s="5"/>
      <c r="B45" s="11"/>
      <c r="C45" s="11"/>
      <c r="D45" s="11"/>
      <c r="E45" s="11"/>
      <c r="F45" s="11"/>
      <c r="G45" s="11"/>
      <c r="H45" s="11"/>
      <c r="I45" s="11"/>
      <c r="K45" s="5">
        <v>2047</v>
      </c>
      <c r="L45" s="160">
        <v>999.64120325109786</v>
      </c>
      <c r="M45" s="160">
        <v>1283.8763723013326</v>
      </c>
      <c r="N45" s="160">
        <v>795.23440488259314</v>
      </c>
      <c r="O45" s="160">
        <v>55.941898434553593</v>
      </c>
      <c r="P45" s="160">
        <v>166.66186642252171</v>
      </c>
      <c r="Q45" s="160">
        <v>35.970052395924299</v>
      </c>
      <c r="R45" s="160">
        <v>14.891599740526734</v>
      </c>
      <c r="S45" s="160">
        <v>61.331147949141048</v>
      </c>
      <c r="T45" s="160">
        <v>3.5897622669737901</v>
      </c>
      <c r="U45" s="160">
        <v>112.5922057384</v>
      </c>
      <c r="V45" s="161">
        <f t="shared" si="0"/>
        <v>3529.7305133830641</v>
      </c>
      <c r="W45" s="162">
        <f t="shared" si="1"/>
        <v>9670.4945572138731</v>
      </c>
      <c r="X45" s="18"/>
      <c r="Y45" s="18"/>
      <c r="Z45" s="18"/>
    </row>
    <row r="46" spans="1:26" x14ac:dyDescent="0.25">
      <c r="A46" s="5"/>
      <c r="B46" s="11"/>
      <c r="C46" s="11"/>
      <c r="D46" s="11"/>
      <c r="E46" s="11"/>
      <c r="F46" s="11"/>
      <c r="G46" s="11"/>
      <c r="H46" s="11"/>
      <c r="I46" s="11"/>
      <c r="K46" s="5">
        <v>2048</v>
      </c>
      <c r="L46" s="160">
        <v>1040.2030040495601</v>
      </c>
      <c r="M46" s="160">
        <v>1346.7724162516495</v>
      </c>
      <c r="N46" s="160">
        <v>812.2455310518767</v>
      </c>
      <c r="O46" s="160">
        <v>58.346257215123693</v>
      </c>
      <c r="P46" s="160">
        <v>172.52865476313187</v>
      </c>
      <c r="Q46" s="160">
        <v>37.02660694160177</v>
      </c>
      <c r="R46" s="160">
        <v>15.382752831645018</v>
      </c>
      <c r="S46" s="160">
        <v>63.621867633307637</v>
      </c>
      <c r="T46" s="160">
        <v>3.7054301669435667</v>
      </c>
      <c r="U46" s="160">
        <v>115.23256256759551</v>
      </c>
      <c r="V46" s="161">
        <f t="shared" si="0"/>
        <v>3665.0650834724356</v>
      </c>
      <c r="W46" s="162">
        <f t="shared" si="1"/>
        <v>10041.274201294345</v>
      </c>
      <c r="X46" s="18"/>
      <c r="Y46" s="18"/>
      <c r="Z46" s="18"/>
    </row>
    <row r="47" spans="1:26" x14ac:dyDescent="0.25">
      <c r="A47" s="5"/>
      <c r="B47" s="11"/>
      <c r="C47" s="11"/>
      <c r="D47" s="11"/>
      <c r="E47" s="11"/>
      <c r="F47" s="11"/>
      <c r="G47" s="11"/>
      <c r="H47" s="11"/>
      <c r="I47" s="11"/>
      <c r="K47" s="5">
        <v>2049</v>
      </c>
      <c r="L47" s="160">
        <v>1077.495483012063</v>
      </c>
      <c r="M47" s="160">
        <v>1406.3517927298578</v>
      </c>
      <c r="N47" s="160">
        <v>825.89561567610258</v>
      </c>
      <c r="O47" s="160">
        <v>60.496809180759641</v>
      </c>
      <c r="P47" s="160">
        <v>177.76889477094781</v>
      </c>
      <c r="Q47" s="160">
        <v>37.916920284152837</v>
      </c>
      <c r="R47" s="160">
        <v>15.808779295916322</v>
      </c>
      <c r="S47" s="160">
        <v>65.648534043175815</v>
      </c>
      <c r="T47" s="160">
        <v>3.805529406507961</v>
      </c>
      <c r="U47" s="160">
        <v>117.44547551855608</v>
      </c>
      <c r="V47" s="161">
        <f t="shared" si="0"/>
        <v>3788.6338339180402</v>
      </c>
      <c r="W47" s="162">
        <f t="shared" si="1"/>
        <v>10379.818723063123</v>
      </c>
      <c r="X47" s="18"/>
      <c r="Y47" s="18"/>
      <c r="Z47" s="18"/>
    </row>
    <row r="48" spans="1:26" x14ac:dyDescent="0.25">
      <c r="A48" s="5"/>
      <c r="B48" s="11"/>
      <c r="C48" s="11"/>
      <c r="D48" s="11"/>
      <c r="E48" s="11"/>
      <c r="F48" s="11"/>
      <c r="G48" s="11"/>
      <c r="H48" s="11"/>
      <c r="I48" s="11"/>
      <c r="K48" s="5">
        <v>2050</v>
      </c>
      <c r="L48" s="160">
        <v>1111.4693896433052</v>
      </c>
      <c r="M48" s="160">
        <v>1462.0963940383294</v>
      </c>
      <c r="N48" s="160">
        <v>838.4089128757447</v>
      </c>
      <c r="O48" s="160">
        <v>62.593072018437184</v>
      </c>
      <c r="P48" s="160">
        <v>182.47447204117191</v>
      </c>
      <c r="Q48" s="160">
        <v>38.63694477385819</v>
      </c>
      <c r="R48" s="160">
        <v>16.176028128396347</v>
      </c>
      <c r="S48" s="160">
        <v>67.423998995371633</v>
      </c>
      <c r="T48" s="160">
        <v>3.8914213013095686</v>
      </c>
      <c r="U48" s="160">
        <v>119.28663112315986</v>
      </c>
      <c r="V48" s="161">
        <f t="shared" si="0"/>
        <v>3902.4572649390839</v>
      </c>
      <c r="W48" s="162">
        <f t="shared" si="1"/>
        <v>10691.663739559133</v>
      </c>
      <c r="X48" s="18"/>
      <c r="Y48" s="18"/>
      <c r="Z48" s="18"/>
    </row>
    <row r="49" spans="12:26" x14ac:dyDescent="0.25"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2:26" x14ac:dyDescent="0.25"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2:26" x14ac:dyDescent="0.25"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2:26" x14ac:dyDescent="0.25"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2:26" x14ac:dyDescent="0.25"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2:26" x14ac:dyDescent="0.25"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2:26" x14ac:dyDescent="0.25"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2:26" x14ac:dyDescent="0.25"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2:26" x14ac:dyDescent="0.25"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2:26" x14ac:dyDescent="0.25"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2:26" x14ac:dyDescent="0.25"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2:26" x14ac:dyDescent="0.25"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2:26" x14ac:dyDescent="0.25"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2:26" x14ac:dyDescent="0.25"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2:26" x14ac:dyDescent="0.25"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2:26" x14ac:dyDescent="0.25"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2:26" x14ac:dyDescent="0.25"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2:26" x14ac:dyDescent="0.25"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2:26" x14ac:dyDescent="0.25"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2:26" x14ac:dyDescent="0.25"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2:26" x14ac:dyDescent="0.25"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2:26" x14ac:dyDescent="0.25"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2:26" x14ac:dyDescent="0.25"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2:26" x14ac:dyDescent="0.25"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2:26" x14ac:dyDescent="0.25"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2:26" x14ac:dyDescent="0.25"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2:26" x14ac:dyDescent="0.25"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2:26" x14ac:dyDescent="0.25"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2:26" x14ac:dyDescent="0.25"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2:26" x14ac:dyDescent="0.25"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2:26" x14ac:dyDescent="0.25"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2:26" x14ac:dyDescent="0.25"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2:26" x14ac:dyDescent="0.25"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2:26" x14ac:dyDescent="0.25"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2:26" x14ac:dyDescent="0.25"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2:26" x14ac:dyDescent="0.25"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2:26" x14ac:dyDescent="0.25"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2:26" x14ac:dyDescent="0.25"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2:26" x14ac:dyDescent="0.25"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2:26" x14ac:dyDescent="0.25"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2:26" x14ac:dyDescent="0.25"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2:26" x14ac:dyDescent="0.25"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2:26" x14ac:dyDescent="0.25"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2:26" x14ac:dyDescent="0.25"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2:26" x14ac:dyDescent="0.25"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2:26" x14ac:dyDescent="0.25"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2:26" x14ac:dyDescent="0.25"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2:26" x14ac:dyDescent="0.25"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2:26" x14ac:dyDescent="0.25"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2:26" x14ac:dyDescent="0.25"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2:26" x14ac:dyDescent="0.25"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2:26" x14ac:dyDescent="0.25"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</sheetData>
  <mergeCells count="1">
    <mergeCell ref="A1:W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9207-E540-4F82-9ECF-017815CB66F8}">
  <dimension ref="A1:AB35"/>
  <sheetViews>
    <sheetView topLeftCell="G13" zoomScale="110" zoomScaleNormal="110" workbookViewId="0">
      <selection activeCell="N15" sqref="N15:Z18"/>
    </sheetView>
  </sheetViews>
  <sheetFormatPr defaultRowHeight="15" x14ac:dyDescent="0.25"/>
  <cols>
    <col min="2" max="2" width="13.5703125" customWidth="1"/>
    <col min="3" max="3" width="10.85546875" bestFit="1" customWidth="1"/>
    <col min="4" max="4" width="14.5703125" customWidth="1"/>
    <col min="5" max="5" width="13.28515625" customWidth="1"/>
    <col min="6" max="8" width="12" customWidth="1"/>
    <col min="10" max="10" width="11.42578125" bestFit="1" customWidth="1"/>
    <col min="11" max="11" width="13.5703125" bestFit="1" customWidth="1"/>
    <col min="12" max="12" width="19.85546875" bestFit="1" customWidth="1"/>
    <col min="14" max="14" width="11.140625" bestFit="1" customWidth="1"/>
    <col min="15" max="15" width="7.7109375" bestFit="1" customWidth="1"/>
    <col min="16" max="16" width="6.85546875" bestFit="1" customWidth="1"/>
    <col min="17" max="17" width="7.7109375" bestFit="1" customWidth="1"/>
    <col min="18" max="18" width="6.85546875" bestFit="1" customWidth="1"/>
    <col min="19" max="19" width="7.7109375" bestFit="1" customWidth="1"/>
    <col min="20" max="20" width="6.85546875" bestFit="1" customWidth="1"/>
    <col min="21" max="21" width="7.7109375" bestFit="1" customWidth="1"/>
    <col min="22" max="22" width="6.85546875" bestFit="1" customWidth="1"/>
    <col min="23" max="23" width="7.7109375" bestFit="1" customWidth="1"/>
    <col min="24" max="24" width="6.85546875" bestFit="1" customWidth="1"/>
    <col min="25" max="25" width="7.7109375" bestFit="1" customWidth="1"/>
    <col min="26" max="26" width="6.85546875" bestFit="1" customWidth="1"/>
    <col min="28" max="28" width="14.42578125" customWidth="1"/>
  </cols>
  <sheetData>
    <row r="1" spans="1:28" ht="32.25" customHeight="1" x14ac:dyDescent="0.25">
      <c r="A1" s="207" t="s">
        <v>37</v>
      </c>
      <c r="B1" s="207"/>
      <c r="C1" s="207"/>
      <c r="D1" s="207"/>
      <c r="E1" s="207"/>
      <c r="F1" s="207"/>
      <c r="G1" s="207"/>
      <c r="H1" s="207"/>
      <c r="J1" s="204" t="s">
        <v>122</v>
      </c>
      <c r="K1" s="199"/>
      <c r="L1" s="199"/>
      <c r="M1" s="199"/>
      <c r="N1" s="199"/>
      <c r="P1" s="196" t="s">
        <v>194</v>
      </c>
      <c r="R1" s="198" t="s">
        <v>37</v>
      </c>
      <c r="S1" s="198"/>
      <c r="U1" s="199" t="s">
        <v>122</v>
      </c>
      <c r="V1" s="199"/>
    </row>
    <row r="2" spans="1:28" ht="75" x14ac:dyDescent="0.25">
      <c r="B2" s="26" t="s">
        <v>13</v>
      </c>
      <c r="C2" s="26" t="s">
        <v>123</v>
      </c>
      <c r="D2" s="26" t="s">
        <v>124</v>
      </c>
      <c r="E2" s="26" t="s">
        <v>38</v>
      </c>
      <c r="F2" s="26" t="s">
        <v>40</v>
      </c>
      <c r="G2" s="26" t="s">
        <v>42</v>
      </c>
      <c r="H2" s="26" t="s">
        <v>43</v>
      </c>
      <c r="J2" s="26" t="s">
        <v>13</v>
      </c>
      <c r="K2" s="26" t="s">
        <v>125</v>
      </c>
      <c r="L2" s="26" t="s">
        <v>41</v>
      </c>
      <c r="M2" s="26" t="s">
        <v>42</v>
      </c>
      <c r="N2" s="26" t="s">
        <v>43</v>
      </c>
      <c r="P2" s="196"/>
      <c r="R2" s="26" t="s">
        <v>42</v>
      </c>
      <c r="S2" s="26" t="s">
        <v>43</v>
      </c>
      <c r="U2" s="26" t="s">
        <v>42</v>
      </c>
      <c r="V2" s="26" t="s">
        <v>43</v>
      </c>
    </row>
    <row r="3" spans="1:28" x14ac:dyDescent="0.25">
      <c r="A3" s="202"/>
      <c r="B3" s="18">
        <v>2025</v>
      </c>
      <c r="C3" s="27">
        <f>(SUM(Sales!L23,Sales!M23,Sales!P23,Sales!T23,Sales!U23))/365*(10^6)</f>
        <v>55019.933965542419</v>
      </c>
      <c r="D3" s="27">
        <f>(SUM(Sales!N23,Sales!O23,Sales!Q23,Sales!R23,Sales!S23)/365)*10^6*(1-L13)</f>
        <v>24636.408453624259</v>
      </c>
      <c r="E3" s="27">
        <f>C3+D3</f>
        <v>79656.342419166671</v>
      </c>
      <c r="F3" s="18">
        <f>ROUND((E3/($C$10*1000)),0)</f>
        <v>3</v>
      </c>
      <c r="G3" s="18">
        <f>ROUND((C13*F3),0)</f>
        <v>3</v>
      </c>
      <c r="H3" s="18">
        <f>ROUND((F3*C14),0)</f>
        <v>0</v>
      </c>
      <c r="J3" s="18">
        <v>2025</v>
      </c>
      <c r="K3" s="27">
        <f>(SUM(Sales!N23,Sales!O23,Sales!Q23:S23)/365)*10^6*L13</f>
        <v>8212.1361512080857</v>
      </c>
      <c r="L3" s="18">
        <f>ROUND((K3/($L$10*1000)),0)</f>
        <v>2</v>
      </c>
      <c r="M3" s="18">
        <f>ROUND((L3*C13),0)</f>
        <v>2</v>
      </c>
      <c r="N3" s="18">
        <f>ROUND((L3*C14),0)</f>
        <v>0</v>
      </c>
      <c r="P3" s="196"/>
      <c r="R3" s="18">
        <f>ROUND((C20*F3),0)</f>
        <v>3</v>
      </c>
      <c r="S3" s="18">
        <f>ROUND((F3*C21),0)</f>
        <v>0</v>
      </c>
      <c r="T3" s="7"/>
      <c r="U3" s="18">
        <f>ROUND((L3*C20),0)</f>
        <v>2</v>
      </c>
      <c r="V3" s="18">
        <f>ROUND((L3*C21),0)</f>
        <v>0</v>
      </c>
      <c r="AB3" s="7"/>
    </row>
    <row r="4" spans="1:28" x14ac:dyDescent="0.25">
      <c r="A4" s="202"/>
      <c r="B4" s="18">
        <v>2030</v>
      </c>
      <c r="C4" s="27">
        <f>SUM(Sales!L28,Sales!M28,Sales!P28,Sales!T28,Sales!U28)/365*(10^6)</f>
        <v>638276.69861893239</v>
      </c>
      <c r="D4" s="18">
        <f>SUM(Sales!N28,Sales!O28,Sales!Q28,Sales!R28,Sales!S28)/365*(10^6)*(1-L13)</f>
        <v>255843.84779467626</v>
      </c>
      <c r="E4" s="27">
        <f>C4+D4</f>
        <v>894120.54641360859</v>
      </c>
      <c r="F4" s="18">
        <f>ROUND((E4/($C$10*1000)),0)-F3</f>
        <v>27</v>
      </c>
      <c r="G4" s="18">
        <f>ROUND((D13*F4),0)</f>
        <v>21</v>
      </c>
      <c r="H4" s="18">
        <f>ROUND((F4*D14),0)</f>
        <v>6</v>
      </c>
      <c r="J4" s="18">
        <v>2030</v>
      </c>
      <c r="K4" s="27">
        <f>SUM(Sales!N28,Sales!O28,Sales!Q28:S28)/365*(10^6)*L13</f>
        <v>85281.282598225414</v>
      </c>
      <c r="L4" s="18">
        <f>ROUND((K4/($L$10*1000)),0)-L3</f>
        <v>15</v>
      </c>
      <c r="M4" s="18">
        <f>ROUND((L4*D13),0)</f>
        <v>11</v>
      </c>
      <c r="N4" s="18">
        <f>ROUND((L4*D14),0)</f>
        <v>4</v>
      </c>
      <c r="P4" s="196"/>
      <c r="R4" s="18">
        <f>ROUND((D20*F4),0)</f>
        <v>17</v>
      </c>
      <c r="S4" s="18">
        <f>ROUND((F4*D21),0)</f>
        <v>10</v>
      </c>
      <c r="T4" s="7"/>
      <c r="U4" s="18">
        <f>ROUND((L4*D20),0)</f>
        <v>10</v>
      </c>
      <c r="V4" s="18">
        <f>ROUND((L4*D21),0)</f>
        <v>6</v>
      </c>
      <c r="AB4" s="7"/>
    </row>
    <row r="5" spans="1:28" x14ac:dyDescent="0.25">
      <c r="A5" s="203"/>
      <c r="B5" s="18">
        <v>2035</v>
      </c>
      <c r="C5" s="18">
        <f>SUM(Sales!L33,Sales!M33,Sales!P33,Sales!T33,Sales!U33)/365*(10^6)</f>
        <v>1932318.7045327553</v>
      </c>
      <c r="D5" s="18">
        <f>SUM(Sales!N33,Sales!O33,Sales!Q33,Sales!R33,Sales!S33)/365*(10^6)*(1-L13)</f>
        <v>766624.40827366966</v>
      </c>
      <c r="E5" s="27">
        <f>C5+D5</f>
        <v>2698943.112806425</v>
      </c>
      <c r="F5" s="18">
        <f t="shared" ref="F5:F8" si="0">ROUND((E5/($C$10*1000)),0)-F4</f>
        <v>63</v>
      </c>
      <c r="G5" s="18">
        <f>ROUND((E13*F5),0)</f>
        <v>36</v>
      </c>
      <c r="H5" s="18">
        <f>ROUND((F5*E14),0)</f>
        <v>27</v>
      </c>
      <c r="J5" s="18">
        <v>2035</v>
      </c>
      <c r="K5" s="27">
        <f>SUM(Sales!N33,Sales!O33,Sales!Q33:S33)/365*(10^6)*L13</f>
        <v>255541.46942455653</v>
      </c>
      <c r="L5" s="18">
        <f t="shared" ref="L5:L8" si="1">ROUND((K5/($L$10*1000)),0)-L4</f>
        <v>36</v>
      </c>
      <c r="M5" s="18">
        <f>ROUND((L5*E13),0)</f>
        <v>21</v>
      </c>
      <c r="N5" s="18">
        <f>ROUND((L5*E14),0)</f>
        <v>15</v>
      </c>
      <c r="P5" s="196"/>
      <c r="R5" s="18">
        <f>ROUND((E20*F5),0)</f>
        <v>20</v>
      </c>
      <c r="S5" s="18">
        <f>ROUND((F5*E21),0)</f>
        <v>43</v>
      </c>
      <c r="U5" s="18">
        <f>ROUND((L5*E20),0)</f>
        <v>11</v>
      </c>
      <c r="V5" s="18">
        <f>ROUND((L5*E21),0)</f>
        <v>25</v>
      </c>
      <c r="AB5" s="7"/>
    </row>
    <row r="6" spans="1:28" x14ac:dyDescent="0.25">
      <c r="A6" s="203"/>
      <c r="B6" s="18">
        <v>2040</v>
      </c>
      <c r="C6" s="18">
        <f>SUM(Sales!L38,Sales!M38,Sales!P38,Sales!T38,Sales!U38)/365*(10^6)</f>
        <v>4192955.3671725229</v>
      </c>
      <c r="D6" s="18">
        <f>SUM(Sales!N38,Sales!O38,Sales!Q38,Sales!R38,Sales!S38)/365*(10^6)*(1-L13)</f>
        <v>1382752.8091628724</v>
      </c>
      <c r="E6" s="27">
        <f>C6+D6</f>
        <v>5575708.1763353953</v>
      </c>
      <c r="F6" s="18">
        <f t="shared" si="0"/>
        <v>123</v>
      </c>
      <c r="G6" s="18">
        <f>ROUND((F13*F6),0)</f>
        <v>47</v>
      </c>
      <c r="H6" s="18">
        <f>ROUND((F6*F14),0)</f>
        <v>76</v>
      </c>
      <c r="J6" s="18">
        <v>2040</v>
      </c>
      <c r="K6" s="27">
        <f>SUM(Sales!O38,Sales!N38,Sales!Q38,Sales!R38,Sales!S38)/365*(10^6)*L13</f>
        <v>460917.60305429075</v>
      </c>
      <c r="L6" s="18">
        <f t="shared" si="1"/>
        <v>56</v>
      </c>
      <c r="M6" s="18">
        <f>ROUND((L6*F13),0)</f>
        <v>21</v>
      </c>
      <c r="N6" s="18">
        <f>ROUND((L6*F14),0)</f>
        <v>35</v>
      </c>
      <c r="P6" s="196"/>
      <c r="R6" s="18">
        <f>ROUND((F20*F6),0)</f>
        <v>0</v>
      </c>
      <c r="S6" s="18">
        <f>ROUND((F6*F21),0)</f>
        <v>123</v>
      </c>
      <c r="U6" s="18">
        <f>ROUND((L6*F20),0)</f>
        <v>0</v>
      </c>
      <c r="V6" s="18">
        <f>ROUND((L6*F21),0)</f>
        <v>56</v>
      </c>
      <c r="AB6" s="7"/>
    </row>
    <row r="7" spans="1:28" x14ac:dyDescent="0.25">
      <c r="A7" s="201"/>
      <c r="B7" s="126">
        <v>2045</v>
      </c>
      <c r="C7" s="27">
        <f>SUM(Sales!L43,Sales!M43,Sales!P43,Sales!T43,Sales!U43)/365*(10^6)</f>
        <v>6350832.3427249677</v>
      </c>
      <c r="D7" s="18">
        <f>SUM(Sales!N43,Sales!O43,Sales!Q43,Sales!R43,Sales!S43)/365*(10^6)*(1-L13)</f>
        <v>1855474.3486937708</v>
      </c>
      <c r="E7" s="27">
        <f t="shared" ref="E7:E8" si="2">C7+D7</f>
        <v>8206306.691418739</v>
      </c>
      <c r="F7" s="18">
        <f t="shared" si="0"/>
        <v>151</v>
      </c>
      <c r="G7" s="18">
        <f>ROUND((G13*F7),0)</f>
        <v>29</v>
      </c>
      <c r="H7" s="18">
        <f>ROUND((F7*G14),0)</f>
        <v>122</v>
      </c>
      <c r="J7" s="126">
        <v>2045</v>
      </c>
      <c r="K7" s="27">
        <f>SUM(Sales!O43,Sales!N43,Sales!Q43,Sales!R43,Sales!S43)/365*(10^6)*L13</f>
        <v>618491.44956459024</v>
      </c>
      <c r="L7" s="18">
        <f t="shared" si="1"/>
        <v>68</v>
      </c>
      <c r="M7" s="18">
        <f>ROUND((L7*G13),0)</f>
        <v>13</v>
      </c>
      <c r="N7" s="18">
        <f>ROUND((L7*G14),0)</f>
        <v>55</v>
      </c>
      <c r="O7" s="18"/>
      <c r="P7" s="196"/>
      <c r="R7" s="18">
        <f>ROUND((G20*F7),0)</f>
        <v>0</v>
      </c>
      <c r="S7" s="18">
        <f>ROUND((F7*G21),0)</f>
        <v>151</v>
      </c>
      <c r="T7" s="7"/>
      <c r="U7" s="18">
        <f>ROUND((L7*G20),0)</f>
        <v>0</v>
      </c>
      <c r="V7" s="18">
        <f>ROUND((L7*G21),0)</f>
        <v>68</v>
      </c>
      <c r="AB7" s="7"/>
    </row>
    <row r="8" spans="1:28" x14ac:dyDescent="0.25">
      <c r="A8" s="201"/>
      <c r="B8" s="126">
        <v>2050</v>
      </c>
      <c r="C8" s="27">
        <f>SUM(Sales!L48,Sales!M48,Sales!P48,Sales!T48,Sales!U48)/365*(10^6)</f>
        <v>7888269.337389797</v>
      </c>
      <c r="D8" s="18">
        <f>SUM(Sales!N48,Sales!O48,Sales!Q48,Sales!R48,Sales!S48)/365*(10^6)*(1-L13)</f>
        <v>2102545.8016270031</v>
      </c>
      <c r="E8" s="27">
        <f t="shared" si="2"/>
        <v>9990815.1390167996</v>
      </c>
      <c r="F8" s="18">
        <f t="shared" si="0"/>
        <v>182</v>
      </c>
      <c r="G8" s="18">
        <f>ROUND((H13*F8),0)</f>
        <v>0</v>
      </c>
      <c r="H8" s="18">
        <f>ROUND((F8*H14),0)</f>
        <v>182</v>
      </c>
      <c r="J8" s="126">
        <v>2050</v>
      </c>
      <c r="K8" s="27">
        <f>SUM(Sales!O48,Sales!N48,Sales!Q48,Sales!R48,Sales!S48)/365*(10^6)*L13</f>
        <v>700848.60054233437</v>
      </c>
      <c r="L8" s="18">
        <f t="shared" si="1"/>
        <v>72</v>
      </c>
      <c r="M8" s="18">
        <f>ROUND((L8*H13),0)</f>
        <v>0</v>
      </c>
      <c r="N8" s="18">
        <f>ROUND((L8*H14),0)</f>
        <v>72</v>
      </c>
      <c r="O8" s="18"/>
      <c r="P8" s="197"/>
      <c r="R8" s="18">
        <f>ROUND((H20*F8),0)</f>
        <v>0</v>
      </c>
      <c r="S8" s="18">
        <f>ROUND((F8*H21),0)</f>
        <v>182</v>
      </c>
      <c r="T8" s="7"/>
      <c r="U8" s="18">
        <f>ROUND((L8*H20),0)</f>
        <v>0</v>
      </c>
      <c r="V8" s="18">
        <f>ROUND((L8*H21),0)</f>
        <v>72</v>
      </c>
      <c r="AB8" s="7"/>
    </row>
    <row r="10" spans="1:28" ht="75" customHeight="1" x14ac:dyDescent="0.25">
      <c r="A10" s="206" t="s">
        <v>57</v>
      </c>
      <c r="B10" s="206"/>
      <c r="C10" s="15">
        <v>30</v>
      </c>
      <c r="J10" s="206" t="s">
        <v>56</v>
      </c>
      <c r="K10" s="206"/>
      <c r="L10" s="28">
        <v>5</v>
      </c>
    </row>
    <row r="11" spans="1:28" s="39" customFormat="1" x14ac:dyDescent="0.25">
      <c r="B11" s="10"/>
      <c r="C11" s="211" t="s">
        <v>192</v>
      </c>
      <c r="D11" s="211"/>
      <c r="E11" s="211"/>
      <c r="F11" s="211"/>
    </row>
    <row r="12" spans="1:28" x14ac:dyDescent="0.25">
      <c r="B12" s="18"/>
      <c r="C12" s="15">
        <v>2025</v>
      </c>
      <c r="D12" s="15">
        <v>2030</v>
      </c>
      <c r="E12" s="15">
        <v>2035</v>
      </c>
      <c r="F12" s="128">
        <v>2040</v>
      </c>
      <c r="G12" s="127">
        <v>2045</v>
      </c>
      <c r="H12" s="127">
        <v>2050</v>
      </c>
      <c r="O12" s="7"/>
      <c r="P12" s="7"/>
      <c r="Q12" s="7"/>
    </row>
    <row r="13" spans="1:28" ht="76.5" customHeight="1" x14ac:dyDescent="0.25">
      <c r="B13" s="37" t="s">
        <v>197</v>
      </c>
      <c r="C13" s="29">
        <v>0.95</v>
      </c>
      <c r="D13" s="29">
        <f>C13-($C$13/5)</f>
        <v>0.76</v>
      </c>
      <c r="E13" s="29">
        <f t="shared" ref="E13:H13" si="3">D13-($C$13/5)</f>
        <v>0.57000000000000006</v>
      </c>
      <c r="F13" s="29">
        <f t="shared" si="3"/>
        <v>0.38000000000000006</v>
      </c>
      <c r="G13" s="29">
        <f t="shared" si="3"/>
        <v>0.19000000000000006</v>
      </c>
      <c r="H13" s="29">
        <f t="shared" si="3"/>
        <v>0</v>
      </c>
      <c r="J13" s="205" t="s">
        <v>58</v>
      </c>
      <c r="K13" s="205"/>
      <c r="L13" s="29">
        <v>0.25</v>
      </c>
      <c r="O13" s="7"/>
    </row>
    <row r="14" spans="1:28" ht="60" x14ac:dyDescent="0.25">
      <c r="B14" s="37" t="s">
        <v>198</v>
      </c>
      <c r="C14" s="131">
        <f>1-C13</f>
        <v>5.0000000000000044E-2</v>
      </c>
      <c r="D14" s="131">
        <f t="shared" ref="D14:H14" si="4">1-D13</f>
        <v>0.24</v>
      </c>
      <c r="E14" s="131">
        <f t="shared" si="4"/>
        <v>0.42999999999999994</v>
      </c>
      <c r="F14" s="131">
        <f t="shared" si="4"/>
        <v>0.61999999999999988</v>
      </c>
      <c r="G14" s="131">
        <f t="shared" si="4"/>
        <v>0.80999999999999994</v>
      </c>
      <c r="H14" s="131">
        <f t="shared" si="4"/>
        <v>1</v>
      </c>
    </row>
    <row r="15" spans="1:28" x14ac:dyDescent="0.25">
      <c r="B15" s="180"/>
      <c r="C15" s="181"/>
      <c r="D15" s="181"/>
      <c r="E15" s="181"/>
      <c r="F15" s="181"/>
      <c r="G15" s="181"/>
      <c r="H15" s="182"/>
      <c r="N15" s="189"/>
      <c r="O15" s="195">
        <v>2025</v>
      </c>
      <c r="P15" s="195"/>
      <c r="Q15" s="195">
        <v>2030</v>
      </c>
      <c r="R15" s="195"/>
      <c r="S15" s="195">
        <v>2035</v>
      </c>
      <c r="T15" s="195"/>
      <c r="U15" s="195">
        <v>2040</v>
      </c>
      <c r="V15" s="195"/>
      <c r="W15" s="195">
        <v>2045</v>
      </c>
      <c r="X15" s="195"/>
      <c r="Y15" s="195">
        <v>2050</v>
      </c>
      <c r="Z15" s="195"/>
    </row>
    <row r="16" spans="1:28" x14ac:dyDescent="0.25">
      <c r="B16" s="180"/>
      <c r="C16" s="181"/>
      <c r="D16" s="181"/>
      <c r="E16" s="181"/>
      <c r="F16" s="181"/>
      <c r="G16" s="181"/>
      <c r="H16" s="182"/>
      <c r="N16" s="189"/>
      <c r="O16" s="191" t="s">
        <v>196</v>
      </c>
      <c r="P16" s="191" t="s">
        <v>195</v>
      </c>
      <c r="Q16" s="191" t="s">
        <v>196</v>
      </c>
      <c r="R16" s="191" t="s">
        <v>195</v>
      </c>
      <c r="S16" s="191" t="s">
        <v>196</v>
      </c>
      <c r="T16" s="191" t="s">
        <v>195</v>
      </c>
      <c r="U16" s="191" t="s">
        <v>196</v>
      </c>
      <c r="V16" s="191" t="s">
        <v>195</v>
      </c>
      <c r="W16" s="191" t="s">
        <v>196</v>
      </c>
      <c r="X16" s="191" t="s">
        <v>195</v>
      </c>
      <c r="Y16" s="191" t="s">
        <v>196</v>
      </c>
      <c r="Z16" s="191" t="s">
        <v>195</v>
      </c>
    </row>
    <row r="17" spans="2:26" ht="45" x14ac:dyDescent="0.25">
      <c r="B17" s="180"/>
      <c r="C17" s="212" t="s">
        <v>193</v>
      </c>
      <c r="D17" s="212"/>
      <c r="E17" s="212"/>
      <c r="F17" s="212"/>
      <c r="G17" s="181"/>
      <c r="H17" s="182"/>
      <c r="N17" s="192" t="s">
        <v>197</v>
      </c>
      <c r="O17" s="193" cm="1">
        <f t="array" ref="O17:O18">C13:C14</f>
        <v>0.95</v>
      </c>
      <c r="P17" s="193" cm="1">
        <f t="array" ref="P17:P18">C20:C21</f>
        <v>0.95</v>
      </c>
      <c r="Q17" s="193" cm="1">
        <f t="array" ref="Q17:Q18">D13:D14</f>
        <v>0.76</v>
      </c>
      <c r="R17" s="193" cm="1">
        <f t="array" ref="R17:R18">D20:D21</f>
        <v>0.6333333333333333</v>
      </c>
      <c r="S17" s="193" cm="1">
        <f t="array" ref="S17:S18">E13:E14</f>
        <v>0.57000000000000006</v>
      </c>
      <c r="T17" s="193" cm="1">
        <f t="array" ref="T17:T18">E20:E21</f>
        <v>0.31666666666666665</v>
      </c>
      <c r="U17" s="193" cm="1">
        <f t="array" ref="U17:U18">F13:F14</f>
        <v>0.38000000000000006</v>
      </c>
      <c r="V17" s="193" cm="1">
        <f t="array" ref="V17:V18">F20:F21</f>
        <v>0</v>
      </c>
      <c r="W17" s="193" cm="1">
        <f t="array" ref="W17:W18">G13:G14</f>
        <v>0.19000000000000006</v>
      </c>
      <c r="X17" s="193" cm="1">
        <f t="array" ref="X17:X18">G20:G21</f>
        <v>0</v>
      </c>
      <c r="Y17" s="193" cm="1">
        <f t="array" ref="Y17:Y18">H13:H14</f>
        <v>0</v>
      </c>
      <c r="Z17" s="193" cm="1">
        <f t="array" ref="Z17:Z18">H20:H21</f>
        <v>0</v>
      </c>
    </row>
    <row r="18" spans="2:26" ht="60" x14ac:dyDescent="0.25">
      <c r="B18" s="180"/>
      <c r="C18" s="181"/>
      <c r="D18" s="181"/>
      <c r="E18" s="181"/>
      <c r="F18" s="181"/>
      <c r="G18" s="181"/>
      <c r="H18" s="182"/>
      <c r="N18" s="192" t="s">
        <v>198</v>
      </c>
      <c r="O18" s="193">
        <v>5.0000000000000044E-2</v>
      </c>
      <c r="P18" s="193">
        <v>5.0000000000000044E-2</v>
      </c>
      <c r="Q18" s="193">
        <v>0.24</v>
      </c>
      <c r="R18" s="193">
        <v>0.3666666666666667</v>
      </c>
      <c r="S18" s="193">
        <v>0.42999999999999994</v>
      </c>
      <c r="T18" s="193">
        <v>0.68333333333333335</v>
      </c>
      <c r="U18" s="193">
        <v>0.61999999999999988</v>
      </c>
      <c r="V18" s="193">
        <v>1</v>
      </c>
      <c r="W18" s="193">
        <v>0.80999999999999994</v>
      </c>
      <c r="X18" s="193">
        <v>1</v>
      </c>
      <c r="Y18" s="193">
        <v>1</v>
      </c>
      <c r="Z18" s="193">
        <v>1</v>
      </c>
    </row>
    <row r="19" spans="2:26" x14ac:dyDescent="0.25">
      <c r="B19" s="37"/>
      <c r="C19" s="185">
        <v>2025</v>
      </c>
      <c r="D19" s="185">
        <v>2030</v>
      </c>
      <c r="E19" s="185">
        <v>2035</v>
      </c>
      <c r="F19" s="185">
        <v>2040</v>
      </c>
      <c r="G19" s="185">
        <v>2045</v>
      </c>
      <c r="H19" s="186">
        <v>2050</v>
      </c>
    </row>
    <row r="20" spans="2:26" ht="30" x14ac:dyDescent="0.25">
      <c r="B20" s="37" t="s">
        <v>44</v>
      </c>
      <c r="C20" s="183">
        <v>0.95</v>
      </c>
      <c r="D20" s="131">
        <f>(C20-($C$20/3))</f>
        <v>0.6333333333333333</v>
      </c>
      <c r="E20" s="131">
        <f t="shared" ref="E20:F20" si="5">(D20-($C$20/3))</f>
        <v>0.31666666666666665</v>
      </c>
      <c r="F20" s="131">
        <f t="shared" si="5"/>
        <v>0</v>
      </c>
      <c r="G20" s="131">
        <f>F20</f>
        <v>0</v>
      </c>
      <c r="H20" s="130">
        <f>F20</f>
        <v>0</v>
      </c>
    </row>
    <row r="21" spans="2:26" ht="45" x14ac:dyDescent="0.25">
      <c r="B21" s="26" t="s">
        <v>45</v>
      </c>
      <c r="C21" s="184">
        <f>1-C20</f>
        <v>5.0000000000000044E-2</v>
      </c>
      <c r="D21" s="184">
        <f t="shared" ref="D21:H21" si="6">1-D20</f>
        <v>0.3666666666666667</v>
      </c>
      <c r="E21" s="184">
        <f t="shared" si="6"/>
        <v>0.68333333333333335</v>
      </c>
      <c r="F21" s="184">
        <f t="shared" si="6"/>
        <v>1</v>
      </c>
      <c r="G21" s="184">
        <f t="shared" si="6"/>
        <v>1</v>
      </c>
      <c r="H21" s="184">
        <f t="shared" si="6"/>
        <v>1</v>
      </c>
    </row>
    <row r="22" spans="2:26" x14ac:dyDescent="0.25">
      <c r="B22" s="180"/>
      <c r="C22" s="181"/>
      <c r="D22" s="181"/>
      <c r="E22" s="181"/>
      <c r="F22" s="181"/>
      <c r="G22" s="181"/>
      <c r="H22" s="182"/>
    </row>
    <row r="23" spans="2:26" x14ac:dyDescent="0.25">
      <c r="B23" s="180"/>
      <c r="C23" s="181"/>
      <c r="D23" s="181"/>
      <c r="E23" s="181"/>
      <c r="F23" s="181"/>
      <c r="G23" s="181"/>
      <c r="H23" s="182"/>
    </row>
    <row r="24" spans="2:26" x14ac:dyDescent="0.25">
      <c r="B24" s="180"/>
      <c r="C24" s="181"/>
      <c r="D24" s="181"/>
      <c r="E24" s="181"/>
      <c r="F24" s="181"/>
      <c r="G24" s="181"/>
      <c r="H24" s="182"/>
    </row>
    <row r="25" spans="2:26" x14ac:dyDescent="0.25">
      <c r="B25" s="180"/>
      <c r="C25" s="181"/>
      <c r="D25" s="181"/>
      <c r="E25" s="181"/>
      <c r="F25" s="181"/>
      <c r="G25" s="181"/>
      <c r="H25" s="182"/>
    </row>
    <row r="26" spans="2:26" x14ac:dyDescent="0.25">
      <c r="B26" s="180"/>
      <c r="C26" s="181"/>
      <c r="D26" s="181"/>
      <c r="E26" s="181"/>
      <c r="F26" s="181"/>
      <c r="G26" s="181"/>
      <c r="H26" s="182"/>
    </row>
    <row r="28" spans="2:26" ht="90" customHeight="1" x14ac:dyDescent="0.25">
      <c r="J28" s="208" t="s">
        <v>146</v>
      </c>
      <c r="K28" s="209"/>
      <c r="L28" s="210"/>
    </row>
    <row r="29" spans="2:26" ht="45" x14ac:dyDescent="0.25">
      <c r="C29" s="129">
        <f t="shared" ref="C29:G29" si="7">C14+C13</f>
        <v>1</v>
      </c>
      <c r="D29" s="129">
        <f t="shared" si="7"/>
        <v>1</v>
      </c>
      <c r="E29" s="129">
        <f t="shared" si="7"/>
        <v>1</v>
      </c>
      <c r="F29" s="129">
        <f t="shared" si="7"/>
        <v>1</v>
      </c>
      <c r="G29" s="129">
        <f t="shared" si="7"/>
        <v>1</v>
      </c>
      <c r="H29" s="129">
        <f>H14+H13</f>
        <v>1</v>
      </c>
      <c r="J29" s="18" t="s">
        <v>147</v>
      </c>
      <c r="K29" s="26" t="s">
        <v>151</v>
      </c>
      <c r="L29" s="18" t="s">
        <v>191</v>
      </c>
    </row>
    <row r="30" spans="2:26" x14ac:dyDescent="0.25">
      <c r="J30" s="18" t="s">
        <v>148</v>
      </c>
      <c r="K30" s="27">
        <f>[2]Natural_Gas_Delivered_Industria!$I$32</f>
        <v>26.580006820000001</v>
      </c>
      <c r="L30" s="200" t="s">
        <v>161</v>
      </c>
    </row>
    <row r="31" spans="2:26" x14ac:dyDescent="0.25">
      <c r="J31" s="18" t="s">
        <v>149</v>
      </c>
      <c r="K31" s="27">
        <f>'[3]Electricity_End-Use_Prices_Indu'!$I$32</f>
        <v>-12.39059473</v>
      </c>
      <c r="L31" s="200"/>
    </row>
    <row r="32" spans="2:26" x14ac:dyDescent="0.25">
      <c r="J32" s="18" t="s">
        <v>150</v>
      </c>
      <c r="K32" s="27">
        <f>100*(N34-K34)/K34</f>
        <v>-60.562962962962956</v>
      </c>
      <c r="L32" s="18" t="s">
        <v>152</v>
      </c>
    </row>
    <row r="33" spans="11:15" x14ac:dyDescent="0.25">
      <c r="K33">
        <v>2020</v>
      </c>
      <c r="L33">
        <v>2030</v>
      </c>
      <c r="M33">
        <v>2040</v>
      </c>
      <c r="N33">
        <v>2050</v>
      </c>
      <c r="O33" t="s">
        <v>152</v>
      </c>
    </row>
    <row r="34" spans="11:15" x14ac:dyDescent="0.25">
      <c r="K34">
        <v>6</v>
      </c>
      <c r="L34">
        <f>K34-1.6</f>
        <v>4.4000000000000004</v>
      </c>
      <c r="M34">
        <f>L34*L35</f>
        <v>3.226666666666667</v>
      </c>
      <c r="N34">
        <f>M34*L35</f>
        <v>2.3662222222222224</v>
      </c>
    </row>
    <row r="35" spans="11:15" x14ac:dyDescent="0.25">
      <c r="L35">
        <f>L34/K34</f>
        <v>0.73333333333333339</v>
      </c>
    </row>
  </sheetData>
  <mergeCells count="21">
    <mergeCell ref="P1:P8"/>
    <mergeCell ref="R1:S1"/>
    <mergeCell ref="U1:V1"/>
    <mergeCell ref="L30:L31"/>
    <mergeCell ref="A7:A8"/>
    <mergeCell ref="A3:A4"/>
    <mergeCell ref="A5:A6"/>
    <mergeCell ref="J1:N1"/>
    <mergeCell ref="J13:K13"/>
    <mergeCell ref="A10:B10"/>
    <mergeCell ref="J10:K10"/>
    <mergeCell ref="A1:H1"/>
    <mergeCell ref="J28:L28"/>
    <mergeCell ref="C11:F11"/>
    <mergeCell ref="C17:F17"/>
    <mergeCell ref="O15:P15"/>
    <mergeCell ref="Q15:R15"/>
    <mergeCell ref="S15:T15"/>
    <mergeCell ref="U15:V15"/>
    <mergeCell ref="W15:X15"/>
    <mergeCell ref="Y15:Z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1CAF-B15F-42FD-A69E-B587B8104FEA}">
  <dimension ref="A1:J11"/>
  <sheetViews>
    <sheetView workbookViewId="0">
      <selection activeCell="J12" sqref="J12"/>
    </sheetView>
  </sheetViews>
  <sheetFormatPr defaultRowHeight="15" x14ac:dyDescent="0.25"/>
  <cols>
    <col min="3" max="3" width="18.28515625" customWidth="1"/>
    <col min="4" max="4" width="15.5703125" customWidth="1"/>
  </cols>
  <sheetData>
    <row r="1" spans="1:10" ht="60" x14ac:dyDescent="0.25">
      <c r="A1" s="26" t="s">
        <v>13</v>
      </c>
      <c r="B1" s="18"/>
      <c r="C1" s="16" t="s">
        <v>156</v>
      </c>
      <c r="D1" s="16" t="s">
        <v>157</v>
      </c>
    </row>
    <row r="2" spans="1:10" x14ac:dyDescent="0.25">
      <c r="A2" s="18">
        <v>2025</v>
      </c>
      <c r="B2" s="18"/>
      <c r="C2" s="18">
        <f>ROUND(('production plant capacity'!C3/$J$10),0)</f>
        <v>49</v>
      </c>
      <c r="D2" s="18">
        <f>ROUND((('production plant capacity'!D3+'production plant capacity'!K3)/$J$11),0)</f>
        <v>9</v>
      </c>
    </row>
    <row r="3" spans="1:10" x14ac:dyDescent="0.25">
      <c r="A3" s="18">
        <v>2030</v>
      </c>
      <c r="B3" s="18"/>
      <c r="C3" s="18">
        <f>ROUND(('production plant capacity'!C4/$J$10),0)-C2</f>
        <v>518</v>
      </c>
      <c r="D3" s="18">
        <f>ROUND((('production plant capacity'!D4+'production plant capacity'!K4)/$J$11),0)-D2</f>
        <v>82</v>
      </c>
    </row>
    <row r="4" spans="1:10" x14ac:dyDescent="0.25">
      <c r="A4" s="18">
        <v>2035</v>
      </c>
      <c r="B4" s="18"/>
      <c r="C4" s="18">
        <f>ROUND(('production plant capacity'!C5/$J$10),0)-C3</f>
        <v>1200</v>
      </c>
      <c r="D4" s="18">
        <f>ROUND((('production plant capacity'!D5+'production plant capacity'!K5)/$J$11),0)-D3</f>
        <v>191</v>
      </c>
    </row>
    <row r="5" spans="1:10" x14ac:dyDescent="0.25">
      <c r="A5" s="18">
        <v>2040</v>
      </c>
      <c r="B5" s="18"/>
      <c r="C5" s="18">
        <f>ROUND(('production plant capacity'!C6/$J$10),0)-C4</f>
        <v>2527</v>
      </c>
      <c r="D5" s="18">
        <f>ROUND((('production plant capacity'!D6+'production plant capacity'!K6)/$J$11),0)-D4</f>
        <v>301</v>
      </c>
    </row>
    <row r="6" spans="1:10" x14ac:dyDescent="0.25">
      <c r="A6" s="43">
        <v>2045</v>
      </c>
      <c r="B6" s="18"/>
      <c r="C6" s="18">
        <f>ROUND(('production plant capacity'!C7/$J$10),0)-C5</f>
        <v>3118</v>
      </c>
      <c r="D6" s="18">
        <f>ROUND((('production plant capacity'!D7+'production plant capacity'!K7)/$J$11),0)-D5</f>
        <v>359</v>
      </c>
    </row>
    <row r="7" spans="1:10" x14ac:dyDescent="0.25">
      <c r="A7" s="43">
        <v>2050</v>
      </c>
      <c r="B7" s="18"/>
      <c r="C7" s="18">
        <f>ROUND(('production plant capacity'!C8/$J$10),0)-C6</f>
        <v>3894</v>
      </c>
      <c r="D7" s="18">
        <f>ROUND((('production plant capacity'!D8+'production plant capacity'!K8)/$J$11),0)-D6</f>
        <v>389</v>
      </c>
    </row>
    <row r="8" spans="1:10" x14ac:dyDescent="0.25">
      <c r="A8" t="s">
        <v>166</v>
      </c>
      <c r="C8">
        <f>SUM(C2:C7)</f>
        <v>11306</v>
      </c>
      <c r="D8">
        <f>SUM(D2:D7)</f>
        <v>1331</v>
      </c>
    </row>
    <row r="10" spans="1:10" ht="75" x14ac:dyDescent="0.25">
      <c r="I10" s="21" t="s">
        <v>158</v>
      </c>
      <c r="J10">
        <f>1500*0.75</f>
        <v>1125</v>
      </c>
    </row>
    <row r="11" spans="1:10" ht="75" x14ac:dyDescent="0.25">
      <c r="I11" s="21" t="s">
        <v>159</v>
      </c>
      <c r="J11">
        <f>5000*0.75</f>
        <v>3750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B473-246C-4FD5-939C-52A6FC12BCF2}">
  <dimension ref="A1:AP27"/>
  <sheetViews>
    <sheetView topLeftCell="D1" workbookViewId="0">
      <selection activeCell="L4" sqref="L4"/>
    </sheetView>
  </sheetViews>
  <sheetFormatPr defaultRowHeight="15" x14ac:dyDescent="0.25"/>
  <cols>
    <col min="1" max="1" width="7.5703125" style="138" customWidth="1"/>
    <col min="2" max="2" width="14.140625" style="138" customWidth="1"/>
    <col min="3" max="3" width="13.140625" style="138" customWidth="1"/>
    <col min="4" max="6" width="12.28515625" style="138" customWidth="1"/>
    <col min="7" max="8" width="17.5703125" style="138" customWidth="1"/>
    <col min="9" max="9" width="15.85546875" style="144" customWidth="1"/>
    <col min="10" max="10" width="14.7109375" style="144" customWidth="1"/>
    <col min="11" max="11" width="15.85546875" style="144" customWidth="1"/>
    <col min="12" max="12" width="12" style="144" customWidth="1"/>
    <col min="13" max="15" width="12.28515625" style="144" customWidth="1"/>
    <col min="16" max="18" width="12.85546875" style="144" customWidth="1"/>
    <col min="19" max="21" width="14.42578125" style="144" customWidth="1"/>
    <col min="22" max="24" width="13.28515625" style="144" customWidth="1"/>
    <col min="25" max="27" width="12.28515625" style="144" customWidth="1"/>
    <col min="28" max="30" width="11.7109375" style="144" customWidth="1"/>
    <col min="31" max="31" width="17.28515625" style="144" customWidth="1"/>
    <col min="32" max="32" width="10.5703125" style="144" customWidth="1"/>
    <col min="33" max="33" width="9.140625" style="138"/>
    <col min="34" max="34" width="18.85546875" style="138" customWidth="1"/>
    <col min="35" max="16384" width="9.140625" style="138"/>
  </cols>
  <sheetData>
    <row r="1" spans="1:42" ht="135.75" thickBot="1" x14ac:dyDescent="0.3">
      <c r="A1" s="135" t="s">
        <v>24</v>
      </c>
      <c r="B1" s="135" t="s">
        <v>14</v>
      </c>
      <c r="C1" s="135"/>
      <c r="D1" s="135" t="s">
        <v>162</v>
      </c>
      <c r="E1" s="220" t="s">
        <v>36</v>
      </c>
      <c r="F1" s="221"/>
      <c r="G1" s="222"/>
      <c r="H1" s="136" t="s">
        <v>185</v>
      </c>
      <c r="I1" s="136" t="s">
        <v>17</v>
      </c>
      <c r="J1" s="213" t="s">
        <v>18</v>
      </c>
      <c r="K1" s="214"/>
      <c r="L1" s="215"/>
      <c r="M1" s="213" t="s">
        <v>47</v>
      </c>
      <c r="N1" s="214"/>
      <c r="O1" s="215"/>
      <c r="P1" s="213" t="s">
        <v>19</v>
      </c>
      <c r="Q1" s="214"/>
      <c r="R1" s="215"/>
      <c r="S1" s="213" t="s">
        <v>20</v>
      </c>
      <c r="T1" s="214"/>
      <c r="U1" s="215"/>
      <c r="V1" s="213" t="s">
        <v>21</v>
      </c>
      <c r="W1" s="214"/>
      <c r="X1" s="215"/>
      <c r="Y1" s="213" t="s">
        <v>22</v>
      </c>
      <c r="Z1" s="214"/>
      <c r="AA1" s="215"/>
      <c r="AB1" s="213" t="s">
        <v>23</v>
      </c>
      <c r="AC1" s="214"/>
      <c r="AD1" s="215"/>
      <c r="AE1" s="136" t="s">
        <v>25</v>
      </c>
      <c r="AF1" s="137"/>
      <c r="AH1" s="216" t="s">
        <v>55</v>
      </c>
      <c r="AI1" s="217"/>
      <c r="AJ1" s="139" t="s">
        <v>0</v>
      </c>
      <c r="AK1" s="140" t="s">
        <v>1</v>
      </c>
      <c r="AL1" s="140" t="s">
        <v>2</v>
      </c>
      <c r="AM1" s="141" t="s">
        <v>3</v>
      </c>
    </row>
    <row r="2" spans="1:42" ht="45" x14ac:dyDescent="0.25">
      <c r="A2" s="218" t="s">
        <v>153</v>
      </c>
      <c r="B2" s="218" t="s">
        <v>26</v>
      </c>
      <c r="C2" s="219"/>
      <c r="D2" s="218"/>
      <c r="E2" s="142" t="s">
        <v>34</v>
      </c>
      <c r="F2" s="135" t="s">
        <v>46</v>
      </c>
      <c r="G2" s="142" t="s">
        <v>35</v>
      </c>
      <c r="H2" s="142"/>
      <c r="I2" s="143"/>
      <c r="J2" s="136" t="s">
        <v>48</v>
      </c>
      <c r="K2" s="136" t="s">
        <v>49</v>
      </c>
      <c r="L2" s="136" t="s">
        <v>50</v>
      </c>
      <c r="M2" s="136" t="s">
        <v>48</v>
      </c>
      <c r="N2" s="136" t="s">
        <v>49</v>
      </c>
      <c r="O2" s="136" t="s">
        <v>50</v>
      </c>
      <c r="P2" s="136" t="s">
        <v>48</v>
      </c>
      <c r="Q2" s="136" t="s">
        <v>49</v>
      </c>
      <c r="R2" s="136" t="s">
        <v>50</v>
      </c>
      <c r="S2" s="136" t="s">
        <v>48</v>
      </c>
      <c r="T2" s="136" t="s">
        <v>49</v>
      </c>
      <c r="U2" s="136" t="s">
        <v>50</v>
      </c>
      <c r="V2" s="136" t="s">
        <v>48</v>
      </c>
      <c r="W2" s="136" t="s">
        <v>49</v>
      </c>
      <c r="X2" s="136" t="s">
        <v>50</v>
      </c>
      <c r="Y2" s="136" t="s">
        <v>48</v>
      </c>
      <c r="Z2" s="136" t="s">
        <v>49</v>
      </c>
      <c r="AA2" s="136" t="s">
        <v>50</v>
      </c>
      <c r="AB2" s="136" t="s">
        <v>48</v>
      </c>
      <c r="AC2" s="136" t="s">
        <v>49</v>
      </c>
      <c r="AD2" s="136" t="s">
        <v>50</v>
      </c>
      <c r="AH2" s="145" t="s">
        <v>15</v>
      </c>
      <c r="AI2" s="145"/>
      <c r="AJ2" s="225" t="s">
        <v>16</v>
      </c>
      <c r="AK2" s="225"/>
      <c r="AL2" s="225"/>
      <c r="AM2" s="225"/>
      <c r="AN2" s="225"/>
      <c r="AO2" s="225"/>
      <c r="AP2" s="225"/>
    </row>
    <row r="3" spans="1:42" x14ac:dyDescent="0.25">
      <c r="A3" s="218"/>
      <c r="B3" s="218"/>
      <c r="C3" s="219"/>
      <c r="D3" s="218"/>
      <c r="E3" s="146"/>
      <c r="F3" s="146"/>
      <c r="G3" s="146" t="s">
        <v>52</v>
      </c>
      <c r="H3" s="143">
        <v>2.34</v>
      </c>
      <c r="I3" s="147">
        <v>5.45</v>
      </c>
      <c r="J3" s="147">
        <f>[4]Sheet2!$F$3</f>
        <v>2.3502521842007189</v>
      </c>
      <c r="K3" s="147">
        <f>[5]Sheet2!$G$3</f>
        <v>0.77570867557287315</v>
      </c>
      <c r="L3" s="147">
        <f>[6]Sheet2!$F$3</f>
        <v>2.5466397621120489</v>
      </c>
      <c r="M3" s="147">
        <f>[4]Sheet2!$G$3</f>
        <v>2.5869015294156874</v>
      </c>
      <c r="N3" s="147">
        <f>[5]Sheet2!$H$3</f>
        <v>3.3651144577356922</v>
      </c>
      <c r="O3" s="147">
        <f>[6]Sheet2!$G$3</f>
        <v>3.4724833784530622</v>
      </c>
      <c r="P3" s="147">
        <f>$H$3+J3+M3</f>
        <v>7.2771537136164062</v>
      </c>
      <c r="Q3" s="147">
        <f t="shared" ref="Q3:R3" si="0">$H$3+K3+N3</f>
        <v>6.4808231333085651</v>
      </c>
      <c r="R3" s="147">
        <f t="shared" si="0"/>
        <v>8.3591231405651101</v>
      </c>
      <c r="S3" s="147">
        <f>(2.8+3.04)</f>
        <v>5.84</v>
      </c>
      <c r="T3" s="147">
        <f>(2.8)+[7]Sheet2!$I$4</f>
        <v>5.4553588278161467</v>
      </c>
      <c r="U3" s="147">
        <f>(2.8)+[6]Sheet2!$H$4</f>
        <v>6.2604930593436432</v>
      </c>
      <c r="V3" s="147">
        <f>(0.91+1.36)+0.76</f>
        <v>3.0300000000000002</v>
      </c>
      <c r="W3" s="147">
        <f>(0.91)+[7]Sheet2!$I$5+0.76</f>
        <v>2.6206390438110789</v>
      </c>
      <c r="X3" s="147">
        <f>(0.91)+[6]Sheet2!$H$5+0.76</f>
        <v>3.0535545246936673</v>
      </c>
      <c r="Y3" s="147">
        <f>(0.91+0.81+0.54)+0.76</f>
        <v>3.0200000000000005</v>
      </c>
      <c r="Z3" s="147">
        <f>(0.91+0.81)+[7]Sheet2!$I$6+0.76</f>
        <v>3.0148252616813398</v>
      </c>
      <c r="AA3" s="147">
        <f>(0.91+0.81)+[6]Sheet2!$H$6+0.76</f>
        <v>3.6550755565277999</v>
      </c>
      <c r="AB3" s="147">
        <f>S3+V3+Y3</f>
        <v>11.89</v>
      </c>
      <c r="AC3" s="147">
        <f t="shared" ref="AC3:AD4" si="1">T3+W3+Z3</f>
        <v>11.090823133308566</v>
      </c>
      <c r="AD3" s="147">
        <f t="shared" si="1"/>
        <v>12.969123140565111</v>
      </c>
      <c r="AJ3" s="225"/>
      <c r="AK3" s="225"/>
      <c r="AL3" s="225"/>
      <c r="AM3" s="225"/>
      <c r="AN3" s="225"/>
      <c r="AO3" s="225"/>
      <c r="AP3" s="225"/>
    </row>
    <row r="4" spans="1:42" x14ac:dyDescent="0.25">
      <c r="A4" s="218"/>
      <c r="B4" s="218"/>
      <c r="C4" s="219"/>
      <c r="D4" s="218"/>
      <c r="E4" s="146"/>
      <c r="F4" s="146"/>
      <c r="G4" s="146" t="s">
        <v>53</v>
      </c>
      <c r="H4" s="143"/>
      <c r="I4" s="147">
        <v>6.4959947295616072</v>
      </c>
      <c r="J4" s="147">
        <f>[4]Sheet2!$F$3</f>
        <v>2.3502521842007189</v>
      </c>
      <c r="K4" s="147">
        <f>[5]Sheet2!$G$3</f>
        <v>0.77570867557287315</v>
      </c>
      <c r="L4" s="147">
        <f>[6]Sheet2!$F$3</f>
        <v>2.5466397621120489</v>
      </c>
      <c r="M4" s="147">
        <f>[4]Sheet2!$G$3</f>
        <v>2.5869015294156874</v>
      </c>
      <c r="N4" s="147">
        <f>[5]Sheet2!$H$3</f>
        <v>3.3651144577356922</v>
      </c>
      <c r="O4" s="147">
        <f>[6]Sheet2!$G$3</f>
        <v>3.4724833784530622</v>
      </c>
      <c r="P4" s="147">
        <f>I4+J4+M4</f>
        <v>11.433148443178013</v>
      </c>
      <c r="Q4" s="147">
        <f>I4+K4+N4</f>
        <v>10.636817862870172</v>
      </c>
      <c r="R4" s="147">
        <f>I4+L4+O4</f>
        <v>12.515117870126719</v>
      </c>
      <c r="S4" s="147">
        <f>(0.788462836296265+3.04)</f>
        <v>3.8284628362962652</v>
      </c>
      <c r="T4" s="147">
        <f>(0.788462836296265)+[7]Sheet2!$I$4</f>
        <v>3.4438216641124115</v>
      </c>
      <c r="U4" s="147">
        <f>(0.788462836296265)+[6]Sheet2!$H$4</f>
        <v>4.2489558956399085</v>
      </c>
      <c r="V4" s="147">
        <f>(0.51+1.36)</f>
        <v>1.87</v>
      </c>
      <c r="W4" s="147">
        <f>(0.51)+[7]Sheet2!$I$5</f>
        <v>1.4606390438110788</v>
      </c>
      <c r="X4" s="147">
        <f>(0.51)+[6]Sheet2!$H$5</f>
        <v>1.8935545246936669</v>
      </c>
      <c r="Y4" s="147">
        <f>(5.23+0.01+0.54)</f>
        <v>5.78</v>
      </c>
      <c r="Z4" s="147">
        <f>(5.23+0.01)+[7]Sheet2!$I$6</f>
        <v>5.7748252616813396</v>
      </c>
      <c r="AA4" s="147">
        <f>(5.23+0.01)+[6]Sheet2!$H$6</f>
        <v>6.4150755565277997</v>
      </c>
      <c r="AB4" s="147">
        <f>S4+V4+Y4</f>
        <v>11.478462836296266</v>
      </c>
      <c r="AC4" s="147">
        <f t="shared" si="1"/>
        <v>10.67928596960483</v>
      </c>
      <c r="AD4" s="147">
        <f t="shared" si="1"/>
        <v>12.557585976861375</v>
      </c>
      <c r="AJ4" s="225"/>
      <c r="AK4" s="225"/>
      <c r="AL4" s="225"/>
      <c r="AM4" s="225"/>
      <c r="AN4" s="225"/>
      <c r="AO4" s="225"/>
      <c r="AP4" s="225"/>
    </row>
    <row r="5" spans="1:42" x14ac:dyDescent="0.25">
      <c r="A5" s="148"/>
      <c r="B5" s="148"/>
      <c r="C5" s="149"/>
      <c r="D5" s="148"/>
      <c r="H5" s="144">
        <f>H3-I3</f>
        <v>-3.1100000000000003</v>
      </c>
      <c r="AJ5" s="225"/>
      <c r="AK5" s="225"/>
      <c r="AL5" s="225"/>
      <c r="AM5" s="225"/>
      <c r="AN5" s="225"/>
      <c r="AO5" s="225"/>
      <c r="AP5" s="225"/>
    </row>
    <row r="6" spans="1:42" x14ac:dyDescent="0.25">
      <c r="A6" s="148"/>
      <c r="B6" s="148"/>
      <c r="C6" s="149"/>
      <c r="D6" s="148"/>
      <c r="H6" s="144"/>
      <c r="AJ6" s="225"/>
      <c r="AK6" s="225"/>
      <c r="AL6" s="225"/>
      <c r="AM6" s="225"/>
      <c r="AN6" s="225"/>
      <c r="AO6" s="225"/>
      <c r="AP6" s="225"/>
    </row>
    <row r="7" spans="1:42" x14ac:dyDescent="0.25">
      <c r="A7" s="148"/>
      <c r="B7" s="148"/>
      <c r="C7" s="149"/>
      <c r="D7" s="148"/>
      <c r="H7" s="144"/>
      <c r="AJ7" s="225"/>
      <c r="AK7" s="225"/>
      <c r="AL7" s="225"/>
      <c r="AM7" s="225"/>
      <c r="AN7" s="225"/>
      <c r="AO7" s="225"/>
      <c r="AP7" s="225"/>
    </row>
    <row r="8" spans="1:42" x14ac:dyDescent="0.25">
      <c r="C8" s="150"/>
      <c r="H8" s="144"/>
      <c r="AJ8" s="225"/>
      <c r="AK8" s="225"/>
      <c r="AL8" s="225"/>
      <c r="AM8" s="225"/>
      <c r="AN8" s="225"/>
      <c r="AO8" s="225"/>
      <c r="AP8" s="225"/>
    </row>
    <row r="9" spans="1:42" x14ac:dyDescent="0.25">
      <c r="A9" s="223" t="s">
        <v>154</v>
      </c>
      <c r="B9" s="223" t="s">
        <v>27</v>
      </c>
      <c r="C9" s="224"/>
      <c r="D9" s="223"/>
      <c r="E9" s="146"/>
      <c r="F9" s="146"/>
      <c r="G9" s="146" t="s">
        <v>52</v>
      </c>
      <c r="H9" s="143">
        <v>2.4700000000000002</v>
      </c>
      <c r="I9" s="147">
        <v>4.9800000000000004</v>
      </c>
      <c r="J9" s="147">
        <f>[8]Sheet2!$F$3</f>
        <v>1.7621652175789317</v>
      </c>
      <c r="K9" s="147">
        <f>[9]Sheet2!$G$3</f>
        <v>0.73718027291616361</v>
      </c>
      <c r="L9" s="147">
        <f>[10]Sheet2!$F$3</f>
        <v>2.4818647417323803</v>
      </c>
      <c r="M9" s="147">
        <f>[8]Sheet2!$G$3</f>
        <v>1.467570624873483</v>
      </c>
      <c r="N9" s="147">
        <f>[9]Sheet2!$H$3</f>
        <v>1.9358465031399918</v>
      </c>
      <c r="O9" s="147">
        <f>[10]Sheet2!$G$3</f>
        <v>2.0297449497120494</v>
      </c>
      <c r="P9" s="147">
        <f>$H$9+J9+M9</f>
        <v>5.6997358424524149</v>
      </c>
      <c r="Q9" s="147">
        <f t="shared" ref="Q9:R9" si="2">$H$9+K9+N9</f>
        <v>5.1430267760561552</v>
      </c>
      <c r="R9" s="147">
        <f t="shared" si="2"/>
        <v>6.9816096914444303</v>
      </c>
      <c r="S9" s="168">
        <f>(2.8+1.77)</f>
        <v>4.57</v>
      </c>
      <c r="T9" s="168">
        <f>(2.8+1.69)</f>
        <v>4.49</v>
      </c>
      <c r="U9" s="168">
        <f>(2.8)+[10]Sheet2!$H$4</f>
        <v>5.2421342107791826</v>
      </c>
      <c r="V9" s="147">
        <f>(0.91+0.99)+0.16</f>
        <v>2.06</v>
      </c>
      <c r="W9" s="147">
        <f>(0.91+0.65)+0.16</f>
        <v>1.72</v>
      </c>
      <c r="X9" s="147">
        <f>(0.91)+[10]Sheet2!$H$5+0.16</f>
        <v>2.1356277307999023</v>
      </c>
      <c r="Y9" s="147">
        <f>(0.48+0.78+0.47)+0.16</f>
        <v>1.89</v>
      </c>
      <c r="Z9" s="147">
        <f>(0.48+0.78+0.34)+0.16</f>
        <v>1.76</v>
      </c>
      <c r="AA9" s="147">
        <f>(0.48+0.78)+[10]Sheet2!$H$6+0.16</f>
        <v>2.4238477498653452</v>
      </c>
      <c r="AB9" s="151">
        <f>S9+V9+Y9</f>
        <v>8.5200000000000014</v>
      </c>
      <c r="AC9" s="151">
        <f t="shared" ref="AC9:AD10" si="3">T9+W9+Z9</f>
        <v>7.97</v>
      </c>
      <c r="AD9" s="151">
        <f t="shared" si="3"/>
        <v>9.8016096914444297</v>
      </c>
      <c r="AE9" s="143"/>
      <c r="AF9" s="143"/>
      <c r="AG9" s="146"/>
      <c r="AJ9" s="225"/>
      <c r="AK9" s="225"/>
      <c r="AL9" s="225"/>
      <c r="AM9" s="225"/>
      <c r="AN9" s="225"/>
      <c r="AO9" s="225"/>
      <c r="AP9" s="225"/>
    </row>
    <row r="10" spans="1:42" x14ac:dyDescent="0.25">
      <c r="A10" s="223"/>
      <c r="B10" s="223"/>
      <c r="C10" s="224"/>
      <c r="D10" s="223"/>
      <c r="E10" s="146"/>
      <c r="F10" s="146"/>
      <c r="G10" s="146" t="s">
        <v>53</v>
      </c>
      <c r="H10" s="143"/>
      <c r="I10" s="147">
        <v>4.1248474100374786</v>
      </c>
      <c r="J10" s="147">
        <f>[8]Sheet2!$F$3</f>
        <v>1.7621652175789317</v>
      </c>
      <c r="K10" s="147">
        <f>[9]Sheet2!$G$3</f>
        <v>0.73718027291616361</v>
      </c>
      <c r="L10" s="147">
        <f>[10]Sheet2!$F$3</f>
        <v>2.4818647417323803</v>
      </c>
      <c r="M10" s="147">
        <f>[8]Sheet2!$G$3</f>
        <v>1.467570624873483</v>
      </c>
      <c r="N10" s="147">
        <f>[9]Sheet2!$H$3</f>
        <v>1.9358465031399918</v>
      </c>
      <c r="O10" s="147">
        <f>[10]Sheet2!$G$3</f>
        <v>2.0297449497120494</v>
      </c>
      <c r="P10" s="147">
        <f>I10+J10+M10</f>
        <v>7.3545832524898938</v>
      </c>
      <c r="Q10" s="151">
        <f>I10+K10+N10</f>
        <v>6.797874186093634</v>
      </c>
      <c r="R10" s="151">
        <f>I10+L10+O10</f>
        <v>8.6364571014819091</v>
      </c>
      <c r="S10" s="147">
        <f>(0.6+1.77)</f>
        <v>2.37</v>
      </c>
      <c r="T10" s="147">
        <f>(0.6+1.69)</f>
        <v>2.29</v>
      </c>
      <c r="U10" s="147">
        <f>(0.6)+[10]Sheet2!$H$4</f>
        <v>3.0421342107791824</v>
      </c>
      <c r="V10" s="147">
        <f>(0.43+0.99)</f>
        <v>1.42</v>
      </c>
      <c r="W10" s="147">
        <f>(0.43+0.65)</f>
        <v>1.08</v>
      </c>
      <c r="X10" s="147">
        <f>(0.43)+[10]Sheet2!$H$5</f>
        <v>1.495627730799902</v>
      </c>
      <c r="Y10" s="147">
        <f>(3.14+0.01+0.47)</f>
        <v>3.62</v>
      </c>
      <c r="Z10" s="147">
        <f>(3.14+0.01+0.34)</f>
        <v>3.4899999999999998</v>
      </c>
      <c r="AA10" s="147">
        <f>(3.14+0.01)+[10]Sheet2!$H$6</f>
        <v>4.1538477498653457</v>
      </c>
      <c r="AB10" s="151">
        <f>S10+V10+Y10</f>
        <v>7.41</v>
      </c>
      <c r="AC10" s="151">
        <f t="shared" si="3"/>
        <v>6.8599999999999994</v>
      </c>
      <c r="AD10" s="151">
        <f t="shared" si="3"/>
        <v>8.6916096914444303</v>
      </c>
      <c r="AE10" s="143"/>
      <c r="AF10" s="143"/>
      <c r="AG10" s="146"/>
      <c r="AJ10" s="225"/>
      <c r="AK10" s="225"/>
      <c r="AL10" s="225"/>
      <c r="AM10" s="225"/>
      <c r="AN10" s="225"/>
      <c r="AO10" s="225"/>
      <c r="AP10" s="225"/>
    </row>
    <row r="11" spans="1:42" x14ac:dyDescent="0.25">
      <c r="A11" s="152"/>
      <c r="B11" s="152"/>
      <c r="C11" s="153"/>
      <c r="D11" s="152"/>
      <c r="H11" s="144"/>
      <c r="AJ11" s="225"/>
      <c r="AK11" s="225"/>
      <c r="AL11" s="225"/>
      <c r="AM11" s="225"/>
      <c r="AN11" s="225"/>
      <c r="AO11" s="225"/>
      <c r="AP11" s="225"/>
    </row>
    <row r="12" spans="1:42" x14ac:dyDescent="0.25">
      <c r="A12" s="152"/>
      <c r="B12" s="152"/>
      <c r="C12" s="153"/>
      <c r="D12" s="152"/>
      <c r="H12" s="144"/>
      <c r="AJ12" s="225"/>
      <c r="AK12" s="225"/>
      <c r="AL12" s="225"/>
      <c r="AM12" s="225"/>
      <c r="AN12" s="225"/>
      <c r="AO12" s="225"/>
      <c r="AP12" s="225"/>
    </row>
    <row r="13" spans="1:42" x14ac:dyDescent="0.25">
      <c r="A13" s="152"/>
      <c r="B13" s="152"/>
      <c r="C13" s="153"/>
      <c r="D13" s="152"/>
      <c r="H13" s="144"/>
      <c r="AJ13" s="225"/>
      <c r="AK13" s="225"/>
      <c r="AL13" s="225"/>
      <c r="AM13" s="225"/>
      <c r="AN13" s="225"/>
      <c r="AO13" s="225"/>
      <c r="AP13" s="225"/>
    </row>
    <row r="14" spans="1:42" ht="22.5" customHeight="1" x14ac:dyDescent="0.25">
      <c r="C14" s="150"/>
      <c r="H14" s="144"/>
      <c r="AJ14" s="225"/>
      <c r="AK14" s="225"/>
      <c r="AL14" s="225"/>
      <c r="AM14" s="225"/>
      <c r="AN14" s="225"/>
      <c r="AO14" s="225"/>
      <c r="AP14" s="225"/>
    </row>
    <row r="15" spans="1:42" ht="12" customHeight="1" x14ac:dyDescent="0.25">
      <c r="A15" s="223" t="s">
        <v>155</v>
      </c>
      <c r="B15" s="223" t="s">
        <v>28</v>
      </c>
      <c r="C15" s="224"/>
      <c r="D15" s="223"/>
      <c r="E15" s="146"/>
      <c r="F15" s="146"/>
      <c r="G15" s="146" t="s">
        <v>52</v>
      </c>
      <c r="H15" s="143">
        <v>2.2599999999999998</v>
      </c>
      <c r="I15" s="147">
        <v>4.51</v>
      </c>
      <c r="J15" s="147">
        <f>[11]Sheet2!$F$3</f>
        <v>1.6739510676506639</v>
      </c>
      <c r="K15" s="147">
        <f>[12]Sheet2!$G$3</f>
        <v>0.73107736287296465</v>
      </c>
      <c r="L15" s="147">
        <f>[13]Sheet2!$F$3</f>
        <v>2.4698306120886349</v>
      </c>
      <c r="M15" s="147">
        <f>[11]Sheet2!$G$3</f>
        <v>1.2514900936874629</v>
      </c>
      <c r="N15" s="147">
        <f>[12]Sheet2!$H$3</f>
        <v>1.5614593237578549</v>
      </c>
      <c r="O15" s="147">
        <f>[13]Sheet2!$G$3</f>
        <v>1.6781991393914344</v>
      </c>
      <c r="P15" s="147">
        <f>$H$15+J15+M15</f>
        <v>5.1854411613381268</v>
      </c>
      <c r="Q15" s="147">
        <f t="shared" ref="Q15:R15" si="4">$H$15+K15+N15</f>
        <v>4.5525366866308197</v>
      </c>
      <c r="R15" s="147">
        <f t="shared" si="4"/>
        <v>6.4080297514800693</v>
      </c>
      <c r="S15" s="168">
        <f>(2.79+1.58)</f>
        <v>4.37</v>
      </c>
      <c r="T15" s="168">
        <f>(2.79+1.54)</f>
        <v>4.33</v>
      </c>
      <c r="U15" s="168">
        <f>(2.79)+[13]Sheet2!$H$4</f>
        <v>5.0840771954158051</v>
      </c>
      <c r="V15" s="147">
        <f>(0.91+0.94)+1.45</f>
        <v>3.3</v>
      </c>
      <c r="W15" s="147">
        <f>(0.91+0.61)+1.45</f>
        <v>2.9699999999999998</v>
      </c>
      <c r="X15" s="147">
        <f>(0.91)+[13]Sheet2!$H$5+1.45</f>
        <v>3.3813326128613728</v>
      </c>
      <c r="Y15" s="147">
        <f>(0.32+0.48+0.4)+1.45</f>
        <v>2.6500000000000004</v>
      </c>
      <c r="Z15" s="147">
        <f>(0.32+0.48+0.14)+1.45</f>
        <v>2.39</v>
      </c>
      <c r="AA15" s="147">
        <f>(0.32+0.48)+[13]Sheet2!$H$6+1.45</f>
        <v>3.0826199432028911</v>
      </c>
      <c r="AB15" s="147">
        <f>S15+V15+Y15</f>
        <v>10.32</v>
      </c>
      <c r="AC15" s="147">
        <f t="shared" ref="AC15:AD16" si="5">T15+W15+Z15</f>
        <v>9.69</v>
      </c>
      <c r="AD15" s="147">
        <f t="shared" si="5"/>
        <v>11.548029751480069</v>
      </c>
      <c r="AH15" s="154" t="s">
        <v>29</v>
      </c>
      <c r="AI15" s="138">
        <v>30</v>
      </c>
    </row>
    <row r="16" spans="1:42" ht="12.75" customHeight="1" x14ac:dyDescent="0.25">
      <c r="A16" s="223"/>
      <c r="B16" s="223"/>
      <c r="C16" s="224"/>
      <c r="D16" s="223"/>
      <c r="E16" s="146"/>
      <c r="F16" s="146"/>
      <c r="G16" s="146" t="s">
        <v>53</v>
      </c>
      <c r="H16" s="143"/>
      <c r="I16" s="147">
        <v>1.39</v>
      </c>
      <c r="J16" s="147">
        <f>[11]Sheet2!$F$3</f>
        <v>1.6739510676506639</v>
      </c>
      <c r="K16" s="147">
        <f>[12]Sheet2!$G$3</f>
        <v>0.73107736287296465</v>
      </c>
      <c r="L16" s="147">
        <f>[13]Sheet2!$F$3</f>
        <v>2.4698306120886349</v>
      </c>
      <c r="M16" s="147">
        <f>[11]Sheet2!$G$3</f>
        <v>1.2514900936874629</v>
      </c>
      <c r="N16" s="147">
        <f>[12]Sheet2!$H$3</f>
        <v>1.5614593237578549</v>
      </c>
      <c r="O16" s="147">
        <f>[13]Sheet2!$G$3</f>
        <v>1.6781991393914344</v>
      </c>
      <c r="P16" s="147">
        <f>I16+J16+M16</f>
        <v>4.3154411613381267</v>
      </c>
      <c r="Q16" s="147">
        <f>I16+K16+N16</f>
        <v>3.6825366866308196</v>
      </c>
      <c r="R16" s="147">
        <f>I16+L16+O16</f>
        <v>5.5380297514800692</v>
      </c>
      <c r="S16" s="147">
        <f>(0.17+1.58)</f>
        <v>1.75</v>
      </c>
      <c r="T16" s="147">
        <f>(0.17+1.54)</f>
        <v>1.71</v>
      </c>
      <c r="U16" s="147">
        <f>(0.17)+[13]Sheet2!$H$4</f>
        <v>2.4640771954158049</v>
      </c>
      <c r="V16" s="147">
        <f>(0.22+0.94)</f>
        <v>1.1599999999999999</v>
      </c>
      <c r="W16" s="147">
        <f>(0.22+0.61)</f>
        <v>0.83</v>
      </c>
      <c r="X16" s="147">
        <f>(0.22)+[13]Sheet2!$H$5</f>
        <v>1.2413326128613729</v>
      </c>
      <c r="Y16" s="147">
        <f>(1.05+0.01+0.4)</f>
        <v>1.46</v>
      </c>
      <c r="Z16" s="147">
        <f>(1.05+0.01+0.14)</f>
        <v>1.2000000000000002</v>
      </c>
      <c r="AA16" s="147">
        <f>(1.05+0.01)+[13]Sheet2!$H$6</f>
        <v>1.8926199432028907</v>
      </c>
      <c r="AB16" s="147">
        <f>S16+V16+Y16</f>
        <v>4.37</v>
      </c>
      <c r="AC16" s="147">
        <f t="shared" si="5"/>
        <v>3.74</v>
      </c>
      <c r="AD16" s="147">
        <f t="shared" si="5"/>
        <v>5.5980297514800688</v>
      </c>
      <c r="AH16" s="154" t="s">
        <v>39</v>
      </c>
      <c r="AI16" s="138">
        <v>1500</v>
      </c>
    </row>
    <row r="17" spans="1:34" ht="12.75" customHeight="1" x14ac:dyDescent="0.25">
      <c r="A17" s="152"/>
      <c r="B17" s="152"/>
      <c r="C17" s="153"/>
      <c r="D17" s="152"/>
      <c r="H17" s="144"/>
      <c r="AH17" s="154"/>
    </row>
    <row r="18" spans="1:34" ht="12.75" customHeight="1" x14ac:dyDescent="0.25">
      <c r="A18" s="152"/>
      <c r="B18" s="152"/>
      <c r="C18" s="153"/>
      <c r="D18" s="152"/>
      <c r="H18" s="144"/>
      <c r="AH18" s="154"/>
    </row>
    <row r="19" spans="1:34" ht="12.75" customHeight="1" x14ac:dyDescent="0.25">
      <c r="A19" s="152"/>
      <c r="B19" s="152"/>
      <c r="C19" s="153"/>
      <c r="D19" s="152"/>
      <c r="H19" s="144"/>
      <c r="AH19" s="154"/>
    </row>
    <row r="20" spans="1:34" x14ac:dyDescent="0.25">
      <c r="H20" s="144"/>
    </row>
    <row r="21" spans="1:34" x14ac:dyDescent="0.25">
      <c r="A21" s="223"/>
      <c r="B21" s="223"/>
      <c r="C21" s="224"/>
      <c r="D21" s="223"/>
      <c r="E21" s="146"/>
      <c r="F21" s="146"/>
      <c r="G21" s="146"/>
      <c r="H21" s="143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>
        <f>S15</f>
        <v>4.37</v>
      </c>
      <c r="T21" s="147">
        <f t="shared" ref="T21:AD21" si="6">T15</f>
        <v>4.33</v>
      </c>
      <c r="U21" s="147">
        <f t="shared" si="6"/>
        <v>5.0840771954158051</v>
      </c>
      <c r="V21" s="147">
        <f t="shared" si="6"/>
        <v>3.3</v>
      </c>
      <c r="W21" s="147">
        <f t="shared" si="6"/>
        <v>2.9699999999999998</v>
      </c>
      <c r="X21" s="147">
        <f t="shared" si="6"/>
        <v>3.3813326128613728</v>
      </c>
      <c r="Y21" s="147">
        <f t="shared" si="6"/>
        <v>2.6500000000000004</v>
      </c>
      <c r="Z21" s="147">
        <f t="shared" si="6"/>
        <v>2.39</v>
      </c>
      <c r="AA21" s="147">
        <f t="shared" si="6"/>
        <v>3.0826199432028911</v>
      </c>
      <c r="AB21" s="147">
        <f t="shared" si="6"/>
        <v>10.32</v>
      </c>
      <c r="AC21" s="147">
        <f t="shared" si="6"/>
        <v>9.69</v>
      </c>
      <c r="AD21" s="147">
        <f t="shared" si="6"/>
        <v>11.548029751480069</v>
      </c>
    </row>
    <row r="22" spans="1:34" x14ac:dyDescent="0.25">
      <c r="A22" s="223"/>
      <c r="B22" s="223"/>
      <c r="C22" s="224"/>
      <c r="D22" s="223"/>
      <c r="E22" s="146"/>
      <c r="F22" s="146"/>
      <c r="G22" s="146"/>
      <c r="H22" s="143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>
        <f>S16</f>
        <v>1.75</v>
      </c>
      <c r="T22" s="147">
        <f t="shared" ref="T22:AD22" si="7">T16</f>
        <v>1.71</v>
      </c>
      <c r="U22" s="147">
        <f t="shared" si="7"/>
        <v>2.4640771954158049</v>
      </c>
      <c r="V22" s="147">
        <f t="shared" si="7"/>
        <v>1.1599999999999999</v>
      </c>
      <c r="W22" s="147">
        <f t="shared" si="7"/>
        <v>0.83</v>
      </c>
      <c r="X22" s="147">
        <f t="shared" si="7"/>
        <v>1.2413326128613729</v>
      </c>
      <c r="Y22" s="147">
        <f t="shared" si="7"/>
        <v>1.46</v>
      </c>
      <c r="Z22" s="147">
        <f t="shared" si="7"/>
        <v>1.2000000000000002</v>
      </c>
      <c r="AA22" s="147">
        <f t="shared" si="7"/>
        <v>1.8926199432028907</v>
      </c>
      <c r="AB22" s="147">
        <f t="shared" si="7"/>
        <v>4.37</v>
      </c>
      <c r="AC22" s="147">
        <f t="shared" si="7"/>
        <v>3.74</v>
      </c>
      <c r="AD22" s="147">
        <f t="shared" si="7"/>
        <v>5.5980297514800688</v>
      </c>
    </row>
    <row r="23" spans="1:34" x14ac:dyDescent="0.25">
      <c r="H23" s="144"/>
    </row>
    <row r="25" spans="1:34" ht="75" x14ac:dyDescent="0.25">
      <c r="N25" s="155" t="s">
        <v>65</v>
      </c>
      <c r="O25" s="156">
        <v>2101</v>
      </c>
    </row>
    <row r="26" spans="1:34" ht="105" x14ac:dyDescent="0.25">
      <c r="N26" s="155" t="s">
        <v>66</v>
      </c>
      <c r="O26" s="157">
        <v>782</v>
      </c>
    </row>
    <row r="27" spans="1:34" ht="105" x14ac:dyDescent="0.25">
      <c r="N27" s="155" t="s">
        <v>67</v>
      </c>
      <c r="O27" s="157">
        <v>611</v>
      </c>
    </row>
  </sheetData>
  <mergeCells count="26">
    <mergeCell ref="A21:A22"/>
    <mergeCell ref="B21:B22"/>
    <mergeCell ref="C21:C22"/>
    <mergeCell ref="D21:D22"/>
    <mergeCell ref="AJ2:AP14"/>
    <mergeCell ref="A9:A10"/>
    <mergeCell ref="B9:B10"/>
    <mergeCell ref="C9:C10"/>
    <mergeCell ref="D9:D10"/>
    <mergeCell ref="A15:A16"/>
    <mergeCell ref="B15:B16"/>
    <mergeCell ref="C15:C16"/>
    <mergeCell ref="D15:D16"/>
    <mergeCell ref="Y1:AA1"/>
    <mergeCell ref="AB1:AD1"/>
    <mergeCell ref="AH1:AI1"/>
    <mergeCell ref="A2:A4"/>
    <mergeCell ref="B2:B4"/>
    <mergeCell ref="C2:C4"/>
    <mergeCell ref="D2:D4"/>
    <mergeCell ref="E1:G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1C74-43AC-4C02-BD56-D116F61632F6}">
  <dimension ref="A1:EN34"/>
  <sheetViews>
    <sheetView zoomScale="80" zoomScaleNormal="80" zoomScaleSheetLayoutView="80" workbookViewId="0">
      <selection activeCell="I4" sqref="I4"/>
    </sheetView>
  </sheetViews>
  <sheetFormatPr defaultRowHeight="15" x14ac:dyDescent="0.25"/>
  <cols>
    <col min="2" max="2" width="14" customWidth="1"/>
    <col min="3" max="3" width="10" customWidth="1"/>
    <col min="4" max="4" width="10.42578125" customWidth="1"/>
    <col min="5" max="5" width="20.42578125" customWidth="1"/>
    <col min="6" max="7" width="16.7109375" customWidth="1"/>
    <col min="8" max="8" width="20" customWidth="1"/>
    <col min="9" max="9" width="15.5703125" customWidth="1"/>
    <col min="10" max="10" width="15.140625" customWidth="1"/>
    <col min="11" max="11" width="13.28515625" customWidth="1"/>
    <col min="12" max="12" width="12.5703125" customWidth="1"/>
    <col min="13" max="13" width="14.140625" style="14" customWidth="1"/>
    <col min="14" max="14" width="13.7109375" customWidth="1"/>
    <col min="15" max="15" width="12.5703125" customWidth="1"/>
    <col min="16" max="16" width="12.42578125" customWidth="1"/>
    <col min="17" max="17" width="11.7109375" customWidth="1"/>
    <col min="18" max="18" width="13.140625" customWidth="1"/>
    <col min="19" max="19" width="9.140625" style="13"/>
    <col min="22" max="22" width="9.140625" style="13"/>
    <col min="25" max="25" width="9.140625" style="13"/>
    <col min="31" max="31" width="10.5703125" customWidth="1"/>
    <col min="32" max="144" width="9.140625" style="20"/>
  </cols>
  <sheetData>
    <row r="1" spans="1:144" ht="45" x14ac:dyDescent="0.25">
      <c r="A1" s="16" t="s">
        <v>24</v>
      </c>
      <c r="B1" s="16" t="s">
        <v>14</v>
      </c>
      <c r="C1" s="253" t="s">
        <v>32</v>
      </c>
      <c r="D1" s="254"/>
      <c r="E1" s="254"/>
      <c r="F1" s="254"/>
      <c r="G1" s="178"/>
      <c r="H1" s="120"/>
      <c r="I1" s="17" t="s">
        <v>17</v>
      </c>
      <c r="J1" s="249" t="s">
        <v>18</v>
      </c>
      <c r="K1" s="249"/>
      <c r="L1" s="249"/>
      <c r="M1" s="249" t="s">
        <v>47</v>
      </c>
      <c r="N1" s="249"/>
      <c r="O1" s="249"/>
      <c r="P1" s="249" t="s">
        <v>19</v>
      </c>
      <c r="Q1" s="249"/>
      <c r="R1" s="249"/>
      <c r="S1" s="249" t="s">
        <v>20</v>
      </c>
      <c r="T1" s="249"/>
      <c r="U1" s="249"/>
      <c r="V1" s="249" t="s">
        <v>21</v>
      </c>
      <c r="W1" s="249"/>
      <c r="X1" s="249"/>
      <c r="Y1" s="249" t="s">
        <v>51</v>
      </c>
      <c r="Z1" s="249"/>
      <c r="AA1" s="249"/>
      <c r="AB1" s="255" t="s">
        <v>23</v>
      </c>
      <c r="AC1" s="255"/>
      <c r="AD1" s="255"/>
      <c r="AE1" s="33"/>
    </row>
    <row r="2" spans="1:144" ht="120" x14ac:dyDescent="0.25">
      <c r="A2" s="226" t="s">
        <v>153</v>
      </c>
      <c r="B2" s="34"/>
      <c r="C2" s="15" t="s">
        <v>33</v>
      </c>
      <c r="D2" s="15" t="s">
        <v>34</v>
      </c>
      <c r="E2" s="16" t="s">
        <v>46</v>
      </c>
      <c r="F2" s="31" t="s">
        <v>35</v>
      </c>
      <c r="G2" s="31"/>
      <c r="H2" s="136" t="s">
        <v>185</v>
      </c>
      <c r="I2" s="30"/>
      <c r="J2" s="17" t="s">
        <v>48</v>
      </c>
      <c r="K2" s="17" t="s">
        <v>49</v>
      </c>
      <c r="L2" s="17" t="s">
        <v>50</v>
      </c>
      <c r="M2" s="17" t="s">
        <v>48</v>
      </c>
      <c r="N2" s="17" t="s">
        <v>49</v>
      </c>
      <c r="O2" s="17" t="s">
        <v>50</v>
      </c>
      <c r="P2" s="17" t="s">
        <v>48</v>
      </c>
      <c r="Q2" s="17" t="s">
        <v>49</v>
      </c>
      <c r="R2" s="17" t="s">
        <v>50</v>
      </c>
      <c r="S2" s="87" t="s">
        <v>48</v>
      </c>
      <c r="T2" s="17" t="s">
        <v>49</v>
      </c>
      <c r="U2" s="17" t="s">
        <v>50</v>
      </c>
      <c r="V2" s="87" t="s">
        <v>48</v>
      </c>
      <c r="W2" s="17" t="s">
        <v>49</v>
      </c>
      <c r="X2" s="17" t="s">
        <v>50</v>
      </c>
      <c r="Y2" s="87" t="s">
        <v>48</v>
      </c>
      <c r="Z2" s="17" t="s">
        <v>49</v>
      </c>
      <c r="AA2" s="17" t="s">
        <v>50</v>
      </c>
      <c r="AB2" s="17" t="s">
        <v>48</v>
      </c>
      <c r="AC2" s="17" t="s">
        <v>49</v>
      </c>
      <c r="AD2" s="17" t="s">
        <v>50</v>
      </c>
      <c r="AE2" s="71"/>
    </row>
    <row r="3" spans="1:144" x14ac:dyDescent="0.25">
      <c r="A3" s="227"/>
      <c r="B3" s="246" t="s">
        <v>26</v>
      </c>
      <c r="C3" s="252" t="s">
        <v>30</v>
      </c>
      <c r="D3" s="22">
        <f>'production plant capacity'!G3</f>
        <v>3</v>
      </c>
      <c r="E3" s="22">
        <f>'production plant capacity'!C10</f>
        <v>30</v>
      </c>
      <c r="F3" s="32" t="s">
        <v>52</v>
      </c>
      <c r="G3" s="32"/>
      <c r="H3" s="121">
        <f>'urban refuelH2 demand and costs'!H3</f>
        <v>2.34</v>
      </c>
      <c r="I3" s="35">
        <v>5.45</v>
      </c>
      <c r="J3" s="35" t="s">
        <v>63</v>
      </c>
      <c r="K3" s="35">
        <f>[14]Sheet2!$G$3</f>
        <v>0.22619900948134924</v>
      </c>
      <c r="L3" s="35">
        <f>[15]Sheet2!$F$3</f>
        <v>2.615978582572045</v>
      </c>
      <c r="M3" s="35">
        <v>1.82</v>
      </c>
      <c r="N3" s="35">
        <v>2.09</v>
      </c>
      <c r="O3" s="35">
        <f>[16]Sheet2!$C$3</f>
        <v>2.0194165973151348</v>
      </c>
      <c r="P3" s="35"/>
      <c r="Q3" s="35">
        <f>$H$3+K3+N3</f>
        <v>4.656199009481349</v>
      </c>
      <c r="R3" s="35">
        <f>$H$3+L3+O3</f>
        <v>6.9753951798871796</v>
      </c>
      <c r="S3" s="88"/>
      <c r="T3" s="170">
        <f>(2.8+1.28+0.15)</f>
        <v>4.2300000000000004</v>
      </c>
      <c r="U3" s="170">
        <f>(2.8+1.32+1.15)</f>
        <v>5.27</v>
      </c>
      <c r="V3" s="88"/>
      <c r="W3" s="35">
        <f>(0.91+0.45+0.03)+0.76</f>
        <v>2.1500000000000004</v>
      </c>
      <c r="X3" s="35">
        <f>(0.91+0.41+0.48)+0.76</f>
        <v>2.56</v>
      </c>
      <c r="Y3" s="88"/>
      <c r="Z3" s="35">
        <f>(0.91+0.81+0.36+0.04)+0.76</f>
        <v>2.88</v>
      </c>
      <c r="AA3" s="35">
        <f>(0.91+0.81+0.89+0.39)+0.76</f>
        <v>3.7600000000000007</v>
      </c>
      <c r="AB3" s="35"/>
      <c r="AC3" s="35">
        <f t="shared" ref="AC3:AD4" si="0">T3+W3+Z3</f>
        <v>9.2600000000000016</v>
      </c>
      <c r="AD3" s="35">
        <f t="shared" si="0"/>
        <v>11.59</v>
      </c>
      <c r="AE3" s="71"/>
      <c r="AF3" s="159"/>
      <c r="AG3" s="159"/>
    </row>
    <row r="4" spans="1:144" x14ac:dyDescent="0.25">
      <c r="A4" s="227"/>
      <c r="B4" s="246"/>
      <c r="C4" s="252"/>
      <c r="D4" s="22">
        <f>'production plant capacity'!H3</f>
        <v>0</v>
      </c>
      <c r="E4" s="24">
        <f>'production plant capacity'!C10</f>
        <v>30</v>
      </c>
      <c r="F4" s="32" t="s">
        <v>53</v>
      </c>
      <c r="G4" s="32"/>
      <c r="H4" s="121"/>
      <c r="I4" s="35">
        <v>6.4959947295616072</v>
      </c>
      <c r="J4" s="35" t="s">
        <v>63</v>
      </c>
      <c r="K4" s="35">
        <f>[14]Sheet2!$G$3</f>
        <v>0.22619900948134924</v>
      </c>
      <c r="L4" s="35">
        <f>[15]Sheet2!$F$3</f>
        <v>2.615978582572045</v>
      </c>
      <c r="M4" s="35">
        <v>1.82</v>
      </c>
      <c r="N4" s="35">
        <v>2.09</v>
      </c>
      <c r="O4" s="35">
        <f>[16]Sheet2!$C$3</f>
        <v>2.0194165973151348</v>
      </c>
      <c r="P4" s="35"/>
      <c r="Q4" s="35">
        <f>I4+K4+N4</f>
        <v>8.8121937390429572</v>
      </c>
      <c r="R4" s="35">
        <f>I4+L4+O4</f>
        <v>11.131389909448789</v>
      </c>
      <c r="S4" s="88"/>
      <c r="T4" s="35">
        <f>(0.788462836296265+1.28+0.15)</f>
        <v>2.2184628362962648</v>
      </c>
      <c r="U4" s="35">
        <f>(0.788462836296265+1.32+1.15)</f>
        <v>3.2584628362962649</v>
      </c>
      <c r="V4" s="88"/>
      <c r="W4" s="35">
        <f>(0.51+0.45+0.03)</f>
        <v>0.99</v>
      </c>
      <c r="X4" s="35">
        <f>(0.51+0.41+0.48)</f>
        <v>1.4</v>
      </c>
      <c r="Y4" s="88"/>
      <c r="Z4" s="35">
        <f>(5.23+0.01+0.36+0.04)</f>
        <v>5.6400000000000006</v>
      </c>
      <c r="AA4" s="35">
        <f>(5.23+0.01+0.89+0.39)</f>
        <v>6.52</v>
      </c>
      <c r="AB4" s="35"/>
      <c r="AC4" s="35">
        <f t="shared" si="0"/>
        <v>8.8484628362962656</v>
      </c>
      <c r="AD4" s="35">
        <f t="shared" si="0"/>
        <v>11.178462836296264</v>
      </c>
      <c r="AE4" s="71"/>
      <c r="AF4" s="159"/>
      <c r="AG4" s="159"/>
    </row>
    <row r="5" spans="1:144" x14ac:dyDescent="0.25">
      <c r="A5" s="227"/>
      <c r="B5" s="246"/>
      <c r="C5" s="200" t="s">
        <v>31</v>
      </c>
      <c r="D5" s="45">
        <f>'production plant capacity'!M3</f>
        <v>2</v>
      </c>
      <c r="E5" s="46">
        <f>'production plant capacity'!L10</f>
        <v>5</v>
      </c>
      <c r="F5" s="55" t="s">
        <v>184</v>
      </c>
      <c r="G5" s="55"/>
      <c r="H5" s="122">
        <v>2</v>
      </c>
      <c r="I5" s="48">
        <v>4.2300000000000004</v>
      </c>
      <c r="J5" s="48">
        <v>0</v>
      </c>
      <c r="K5" s="48">
        <v>0</v>
      </c>
      <c r="L5" s="48">
        <v>0</v>
      </c>
      <c r="M5" s="233">
        <v>2.09</v>
      </c>
      <c r="N5" s="234"/>
      <c r="O5" s="48">
        <f>[15]Sheet2!$C$3+[16]Sheet2!$C$3</f>
        <v>4.1087655986526883</v>
      </c>
      <c r="P5" s="233">
        <f>$H$5+M5</f>
        <v>4.09</v>
      </c>
      <c r="Q5" s="234"/>
      <c r="R5" s="48">
        <f>H5+O5</f>
        <v>6.1087655986526883</v>
      </c>
      <c r="S5" s="233">
        <f>(0.19+1.28)</f>
        <v>1.47</v>
      </c>
      <c r="T5" s="234"/>
      <c r="U5" s="49" cm="1">
        <f t="array" ref="U5">[17]!result_cap_contr+(0.97+1.15)</f>
        <v>2.519465152816788</v>
      </c>
      <c r="V5" s="242">
        <f>(0.2+0.45)+0.09</f>
        <v>0.74</v>
      </c>
      <c r="W5" s="243"/>
      <c r="X5" s="49" cm="1">
        <f t="array" ref="X5">[17]!result_Fixed_O_M_contr+0.24+0.48</f>
        <v>1.5178384984117987</v>
      </c>
      <c r="Y5" s="242">
        <f>(0.82+0.27+2.75+0.36)+0.09</f>
        <v>4.29</v>
      </c>
      <c r="Z5" s="243"/>
      <c r="AA5" s="49" cm="1">
        <f t="array" ref="AA5">[17]!result_other_var_contr+[17]!result_Other_Mat_contr+[17]!result_feed_contr+0.88+0.39</f>
        <v>2.0572300145681828</v>
      </c>
      <c r="AB5" s="233">
        <f>S5+V5+Y5</f>
        <v>6.5</v>
      </c>
      <c r="AC5" s="234"/>
      <c r="AD5" s="48">
        <f>U5+X5+AA5</f>
        <v>6.0945336657967699</v>
      </c>
      <c r="AE5" s="72"/>
      <c r="AF5" s="159"/>
      <c r="AG5" s="159"/>
    </row>
    <row r="6" spans="1:144" s="18" customFormat="1" x14ac:dyDescent="0.25">
      <c r="A6" s="228"/>
      <c r="B6" s="246"/>
      <c r="C6" s="200"/>
      <c r="D6" s="19">
        <f>'production plant capacity'!N3</f>
        <v>0</v>
      </c>
      <c r="E6" s="18">
        <f>'production plant capacity'!L10</f>
        <v>5</v>
      </c>
      <c r="F6" s="18" t="s">
        <v>53</v>
      </c>
      <c r="H6" s="30"/>
      <c r="I6" s="30">
        <v>6.89</v>
      </c>
      <c r="J6" s="30">
        <v>0</v>
      </c>
      <c r="K6" s="30">
        <v>0</v>
      </c>
      <c r="L6" s="30">
        <v>0</v>
      </c>
      <c r="M6" s="237">
        <v>2.09</v>
      </c>
      <c r="N6" s="237"/>
      <c r="O6" s="30">
        <f>[15]Sheet2!$C$3+[16]Sheet2!$C$3</f>
        <v>4.1087655986526883</v>
      </c>
      <c r="P6" s="237">
        <f>I6+M6</f>
        <v>8.98</v>
      </c>
      <c r="Q6" s="237"/>
      <c r="R6" s="30">
        <f>I6+O6</f>
        <v>10.998765598652689</v>
      </c>
      <c r="S6" s="235">
        <f>(0.81+1.28)</f>
        <v>2.09</v>
      </c>
      <c r="T6" s="235"/>
      <c r="U6" s="42" cm="1">
        <f t="array" ref="U6">(0.97+1.15)+[18]!result_cap_contr</f>
        <v>2.9395261350399715</v>
      </c>
      <c r="V6" s="235">
        <f>(0.64+0.45)</f>
        <v>1.0900000000000001</v>
      </c>
      <c r="W6" s="235"/>
      <c r="X6" s="42" cm="1">
        <f t="array" ref="X6">0.24+0.48+[18]!result_Fixed_O_M_contr</f>
        <v>1.6096027373082373</v>
      </c>
      <c r="Y6" s="242">
        <f>(5.14+0.01+0.36)+[18]Results!$C$23+[18]Results!$C$29</f>
        <v>5.4516035077293239</v>
      </c>
      <c r="Z6" s="243"/>
      <c r="AA6" s="42" cm="1">
        <f t="array" ref="AA6">0.88+0.39+[18]!result_feed_contr+[18]!result_other_var_contr+[18]!result_decom_contr+[18]Results!$C$29</f>
        <v>6.3665409127546813</v>
      </c>
      <c r="AB6" s="233">
        <f>S6+V6+Y6</f>
        <v>8.6316035077293236</v>
      </c>
      <c r="AC6" s="234"/>
      <c r="AD6" s="48">
        <f>U6+X6+AA6</f>
        <v>10.915669785102891</v>
      </c>
      <c r="AF6" s="159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</row>
    <row r="7" spans="1:144" s="20" customFormat="1" x14ac:dyDescent="0.25">
      <c r="H7" s="54"/>
      <c r="I7" s="54"/>
      <c r="J7" s="54"/>
      <c r="K7" s="54"/>
      <c r="L7" s="54"/>
      <c r="M7" s="54"/>
      <c r="N7" s="54"/>
      <c r="O7" s="54"/>
      <c r="P7" s="54"/>
      <c r="Q7" s="54"/>
      <c r="S7" s="89"/>
      <c r="V7" s="89"/>
      <c r="W7" s="54"/>
      <c r="X7" s="54"/>
      <c r="Y7" s="89"/>
      <c r="Z7" s="54"/>
      <c r="AA7" s="54"/>
      <c r="AE7" s="72"/>
    </row>
    <row r="8" spans="1:144" s="20" customFormat="1" x14ac:dyDescent="0.25">
      <c r="H8" s="54"/>
      <c r="I8" s="54"/>
      <c r="J8" s="54"/>
      <c r="K8" s="54"/>
      <c r="L8" s="54"/>
      <c r="M8" s="54"/>
      <c r="N8" s="54"/>
      <c r="O8" s="54"/>
      <c r="P8" s="54"/>
      <c r="Q8" s="54"/>
      <c r="S8" s="89"/>
      <c r="V8" s="89"/>
      <c r="W8" s="54"/>
      <c r="X8" s="54"/>
      <c r="Y8" s="89"/>
      <c r="Z8" s="54"/>
      <c r="AA8" s="54"/>
      <c r="AE8" s="72"/>
    </row>
    <row r="9" spans="1:144" s="18" customFormat="1" x14ac:dyDescent="0.25">
      <c r="A9" s="200" t="s">
        <v>154</v>
      </c>
      <c r="B9" s="200" t="s">
        <v>27</v>
      </c>
      <c r="C9" s="252" t="s">
        <v>30</v>
      </c>
      <c r="D9" s="22">
        <f>'production plant capacity'!G4</f>
        <v>21</v>
      </c>
      <c r="E9" s="22">
        <f>'production plant capacity'!C10</f>
        <v>30</v>
      </c>
      <c r="F9" s="23" t="s">
        <v>52</v>
      </c>
      <c r="G9" s="23"/>
      <c r="H9" s="35">
        <f>'urban refuelH2 demand and costs'!H9</f>
        <v>2.4700000000000002</v>
      </c>
      <c r="I9" s="35">
        <v>4.9800000000000004</v>
      </c>
      <c r="J9" s="35" t="s">
        <v>63</v>
      </c>
      <c r="K9" s="35">
        <f>[19]Sheet2!$G$3</f>
        <v>0.20886899508900769</v>
      </c>
      <c r="L9" s="35">
        <f>[20]Sheet2!$F$3</f>
        <v>2.1750613856494234</v>
      </c>
      <c r="M9" s="35">
        <v>0.97</v>
      </c>
      <c r="N9" s="35">
        <v>1.1499999999999999</v>
      </c>
      <c r="O9" s="35">
        <f>[21]Sheet2!$C$3</f>
        <v>1.1004622824840924</v>
      </c>
      <c r="P9" s="23"/>
      <c r="Q9" s="44">
        <f>H9+K9+N9</f>
        <v>3.828868995089008</v>
      </c>
      <c r="R9" s="44">
        <f>H9+L9+O9</f>
        <v>5.745523668133516</v>
      </c>
      <c r="S9" s="88"/>
      <c r="T9" s="170">
        <f>(2.8+0.67+0.14)</f>
        <v>3.61</v>
      </c>
      <c r="U9" s="170">
        <f>(2.8+1.25)+[21]Sheet2!$C$4</f>
        <v>4.6326259463228237</v>
      </c>
      <c r="V9" s="88"/>
      <c r="W9" s="35">
        <f>(0.91+0.26+0.03)+0.16</f>
        <v>1.3599999999999999</v>
      </c>
      <c r="X9" s="35">
        <f>(0.91+0.39)+[21]Sheet2!$C$5+0.16</f>
        <v>1.7453517813209205</v>
      </c>
      <c r="Y9" s="88"/>
      <c r="Z9" s="35">
        <f>(0.48+0.78+0.22+0.04)+0.16</f>
        <v>1.68</v>
      </c>
      <c r="AA9" s="35">
        <f>(0.48+0.78+0.53)+[21]Sheet2!$C$6+0.16</f>
        <v>2.1824845548403484</v>
      </c>
      <c r="AB9" s="44"/>
      <c r="AC9" s="44">
        <f t="shared" ref="AC9:AD10" si="1">T9+W9+Z9</f>
        <v>6.6499999999999995</v>
      </c>
      <c r="AD9" s="44">
        <f t="shared" si="1"/>
        <v>8.5604622824840924</v>
      </c>
      <c r="AF9" s="159"/>
      <c r="AG9" s="159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144" ht="16.5" customHeight="1" x14ac:dyDescent="0.25">
      <c r="A10" s="200"/>
      <c r="B10" s="200"/>
      <c r="C10" s="252"/>
      <c r="D10" s="24">
        <f>'production plant capacity'!H4</f>
        <v>6</v>
      </c>
      <c r="E10" s="24">
        <f>'production plant capacity'!C10</f>
        <v>30</v>
      </c>
      <c r="F10" s="50" t="s">
        <v>53</v>
      </c>
      <c r="G10" s="50"/>
      <c r="H10" s="123"/>
      <c r="I10" s="51">
        <v>4.1248474100374786</v>
      </c>
      <c r="J10" s="51" t="s">
        <v>63</v>
      </c>
      <c r="K10" s="51">
        <f>[19]Sheet2!$G$3</f>
        <v>0.20886899508900769</v>
      </c>
      <c r="L10" s="51">
        <f>[20]Sheet2!$F$3</f>
        <v>2.1750613856494234</v>
      </c>
      <c r="M10" s="51">
        <v>0.97</v>
      </c>
      <c r="N10" s="51">
        <v>1.1499999999999999</v>
      </c>
      <c r="O10" s="51">
        <f>[21]Sheet2!$C$3</f>
        <v>1.1004622824840924</v>
      </c>
      <c r="P10" s="52"/>
      <c r="Q10" s="53">
        <f>I10+K10+N10</f>
        <v>5.4837164051264864</v>
      </c>
      <c r="R10" s="53">
        <f>I10+L10+O10</f>
        <v>7.4003710781709939</v>
      </c>
      <c r="S10" s="90"/>
      <c r="T10" s="51">
        <f>(0.6+0.67+0.14)</f>
        <v>1.4100000000000001</v>
      </c>
      <c r="U10" s="51">
        <f>(0.6+1.25)+[21]Sheet2!$C$4</f>
        <v>2.4326259463228239</v>
      </c>
      <c r="V10" s="90"/>
      <c r="W10" s="51">
        <f>(0.43+0.26+0.03)</f>
        <v>0.72</v>
      </c>
      <c r="X10" s="51">
        <f>(0.43+0.39)+[21]Sheet2!$C$5</f>
        <v>1.1053517813209206</v>
      </c>
      <c r="Y10" s="90"/>
      <c r="Z10" s="51">
        <f>(3.14+0.01+0.22+0.04)</f>
        <v>3.41</v>
      </c>
      <c r="AA10" s="51">
        <f>(3.14+0.01+0.53)+[21]Sheet2!$C$6</f>
        <v>3.912484554840348</v>
      </c>
      <c r="AB10" s="44"/>
      <c r="AC10" s="44">
        <f t="shared" si="1"/>
        <v>5.54</v>
      </c>
      <c r="AD10" s="44">
        <f t="shared" si="1"/>
        <v>7.4504622824840929</v>
      </c>
      <c r="AE10" s="72"/>
      <c r="AF10" s="159"/>
    </row>
    <row r="11" spans="1:144" x14ac:dyDescent="0.25">
      <c r="A11" s="200"/>
      <c r="B11" s="200"/>
      <c r="C11" s="200" t="s">
        <v>31</v>
      </c>
      <c r="D11" s="19">
        <f>'production plant capacity'!M4</f>
        <v>11</v>
      </c>
      <c r="E11" s="18">
        <f>'production plant capacity'!L10</f>
        <v>5</v>
      </c>
      <c r="F11" s="36" t="s">
        <v>184</v>
      </c>
      <c r="G11" s="36"/>
      <c r="H11" s="124">
        <v>2.08</v>
      </c>
      <c r="I11" s="30">
        <v>3.19</v>
      </c>
      <c r="J11" s="30">
        <v>0</v>
      </c>
      <c r="K11" s="30">
        <v>0</v>
      </c>
      <c r="L11" s="30">
        <v>0</v>
      </c>
      <c r="M11" s="238">
        <v>1.1499999999999999</v>
      </c>
      <c r="N11" s="239"/>
      <c r="O11" s="30">
        <f>[20]Sheet2!$C$3+[21]Sheet2!$C$3</f>
        <v>2.8220015983184732</v>
      </c>
      <c r="P11" s="238">
        <f>H11+M11</f>
        <v>3.23</v>
      </c>
      <c r="Q11" s="239"/>
      <c r="R11" s="30">
        <f>H11+O11</f>
        <v>4.9020015983184733</v>
      </c>
      <c r="S11" s="231">
        <f>(0.17+0.67)</f>
        <v>0.84000000000000008</v>
      </c>
      <c r="T11" s="232"/>
      <c r="U11" s="169" cm="1">
        <f t="array" ref="U11">(0.96)+[21]Sheet2!$C$4+[22]!result_cap_contr</f>
        <v>1.9079771197365545</v>
      </c>
      <c r="V11" s="240">
        <f>(0.2+0.26)+4.42</f>
        <v>4.88</v>
      </c>
      <c r="W11" s="241"/>
      <c r="X11" s="42" cm="1">
        <f t="array" ref="X11">(0.24)+[21]Sheet2!$C$5+[22]!result_Fixed_O_M_contr</f>
        <v>1.3002191803027248</v>
      </c>
      <c r="Y11" s="240">
        <f>(0.44+2.23+0.15+0.22)+4.42</f>
        <v>7.46</v>
      </c>
      <c r="Z11" s="241"/>
      <c r="AA11" s="42" cm="1">
        <f t="array" ref="AA11">(0.53)+[21]Sheet2!$C$6+[22]!result_feed_contr+[22]!result_Other_Mat_contr+[22]!result_other_var_contr</f>
        <v>1.6926945694085302</v>
      </c>
      <c r="AB11" s="244">
        <f>S11+V11+Y11</f>
        <v>13.18</v>
      </c>
      <c r="AC11" s="245"/>
      <c r="AD11" s="30">
        <f>U11+X11+AA11</f>
        <v>4.9008908694478093</v>
      </c>
      <c r="AE11" s="72"/>
      <c r="AF11" s="159"/>
      <c r="AG11" s="159"/>
    </row>
    <row r="12" spans="1:144" x14ac:dyDescent="0.25">
      <c r="A12" s="200"/>
      <c r="B12" s="200"/>
      <c r="C12" s="200"/>
      <c r="D12" s="45">
        <f>'production plant capacity'!N4</f>
        <v>4</v>
      </c>
      <c r="E12" s="46">
        <f>'production plant capacity'!L10</f>
        <v>5</v>
      </c>
      <c r="F12" s="47" t="s">
        <v>53</v>
      </c>
      <c r="G12" s="47"/>
      <c r="H12" s="125"/>
      <c r="I12" s="48">
        <v>4.74</v>
      </c>
      <c r="J12" s="48">
        <v>0</v>
      </c>
      <c r="K12" s="48">
        <v>0</v>
      </c>
      <c r="L12" s="48">
        <v>0</v>
      </c>
      <c r="M12" s="233">
        <v>1.1499999999999999</v>
      </c>
      <c r="N12" s="234"/>
      <c r="O12" s="48">
        <f>[20]Sheet2!$C$3+[21]Sheet2!$C$3</f>
        <v>2.8220015983184732</v>
      </c>
      <c r="P12" s="233">
        <f>I12+M12</f>
        <v>5.8900000000000006</v>
      </c>
      <c r="Q12" s="234"/>
      <c r="R12" s="48">
        <f>I12+O12</f>
        <v>7.5620015983184734</v>
      </c>
      <c r="S12" s="233">
        <f>(0.63+0.67)</f>
        <v>1.3</v>
      </c>
      <c r="T12" s="234"/>
      <c r="U12" s="49" cm="1">
        <f t="array" ref="U12">(0.96)+[21]Sheet2!$C$4+[23]!result_cap_contr</f>
        <v>2.1831977866393877</v>
      </c>
      <c r="V12" s="242">
        <f>(0.53+0.26)</f>
        <v>0.79</v>
      </c>
      <c r="W12" s="243"/>
      <c r="X12" s="49" cm="1">
        <f t="array" ref="X12">(0.24)+[21]Sheet2!$C$5+[23]!result_Fixed_O_M_contr</f>
        <v>1.3047483641203745</v>
      </c>
      <c r="Y12" s="242">
        <f>(3.08+0.01+0.22)+[23]Results!$C$23+[23]Results!$C$29</f>
        <v>3.2473545921719955</v>
      </c>
      <c r="Z12" s="243"/>
      <c r="AA12" s="49" cm="1">
        <f t="array" ref="AA12">(0.53)+[21]Sheet2!$C$6+[23]!result_feed_contr+[23]!result_decom_contr+[23]!result_other_var_contr+[23]Results!$C$29</f>
        <v>3.7987765520376979</v>
      </c>
      <c r="AB12" s="244">
        <f>S12+V12+Y12</f>
        <v>5.3373545921719954</v>
      </c>
      <c r="AC12" s="245"/>
      <c r="AD12" s="30">
        <f>U12+X12+AA12</f>
        <v>7.2867227027974604</v>
      </c>
      <c r="AE12" s="72"/>
      <c r="AF12" s="159"/>
    </row>
    <row r="13" spans="1:144" s="57" customFormat="1" x14ac:dyDescent="0.25">
      <c r="A13" s="47"/>
      <c r="H13" s="60"/>
      <c r="I13" s="60"/>
      <c r="M13" s="60"/>
      <c r="S13" s="91"/>
      <c r="V13" s="94"/>
      <c r="Y13" s="94"/>
      <c r="AE13" s="73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</row>
    <row r="14" spans="1:144" s="59" customFormat="1" x14ac:dyDescent="0.25">
      <c r="A14" s="58"/>
      <c r="H14" s="61"/>
      <c r="I14" s="61"/>
      <c r="M14" s="61"/>
      <c r="S14" s="92"/>
      <c r="V14" s="95"/>
      <c r="Y14" s="95"/>
      <c r="AE14" s="74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</row>
    <row r="15" spans="1:144" x14ac:dyDescent="0.25">
      <c r="A15" s="200" t="s">
        <v>160</v>
      </c>
      <c r="B15" s="200" t="s">
        <v>28</v>
      </c>
      <c r="C15" s="252" t="s">
        <v>30</v>
      </c>
      <c r="D15" s="24">
        <f>'production plant capacity'!G5</f>
        <v>36</v>
      </c>
      <c r="E15" s="24">
        <f>'production plant capacity'!C10</f>
        <v>30</v>
      </c>
      <c r="F15" s="50" t="s">
        <v>52</v>
      </c>
      <c r="G15" s="50"/>
      <c r="H15" s="123">
        <f>'urban refuelH2 demand and costs'!H15</f>
        <v>2.2599999999999998</v>
      </c>
      <c r="I15" s="51">
        <v>4.51</v>
      </c>
      <c r="J15" s="51" t="s">
        <v>63</v>
      </c>
      <c r="K15" s="51">
        <f>[24]Sheet2!$G$3</f>
        <v>0.20556191331940463</v>
      </c>
      <c r="L15" s="51">
        <f>[25]Sheet2!$F$3</f>
        <v>1.7925313677577104</v>
      </c>
      <c r="M15" s="51">
        <v>0.81</v>
      </c>
      <c r="N15" s="51">
        <v>0.89</v>
      </c>
      <c r="O15" s="51">
        <f>[26]Sheet2!$C$3</f>
        <v>0.84002953992300167</v>
      </c>
      <c r="P15" s="52"/>
      <c r="Q15" s="53">
        <f>H15+K15+N15</f>
        <v>3.3555619133194043</v>
      </c>
      <c r="R15" s="53">
        <f>H15+L15+O15</f>
        <v>4.8925609076807124</v>
      </c>
      <c r="S15" s="90"/>
      <c r="T15" s="171">
        <f>(2.79+0.59+0.13)</f>
        <v>3.51</v>
      </c>
      <c r="U15" s="171">
        <f>(2.79+1.23)+[26]Sheet2!$C$4</f>
        <v>4.5233607673382448</v>
      </c>
      <c r="V15" s="90"/>
      <c r="W15" s="51">
        <f>(0.91+0.24+0.03)+1.44</f>
        <v>2.62</v>
      </c>
      <c r="X15" s="51">
        <f>(0.91+0.39)+[26]Sheet2!$C$5+1.44</f>
        <v>2.9991739209713066</v>
      </c>
      <c r="Y15" s="90"/>
      <c r="Z15" s="51">
        <f>(0.32+0.48+0.07+0.04)+1.44</f>
        <v>2.35</v>
      </c>
      <c r="AA15" s="51">
        <f>(0.32+0.48+0.18)+[26]Sheet2!$C$6+1.44</f>
        <v>2.4974948516134492</v>
      </c>
      <c r="AB15" s="53"/>
      <c r="AC15" s="53">
        <f t="shared" ref="AC15:AD16" si="2">T15+W15+Z15</f>
        <v>8.48</v>
      </c>
      <c r="AD15" s="53">
        <f t="shared" si="2"/>
        <v>10.020029539923001</v>
      </c>
      <c r="AE15" s="72"/>
      <c r="AF15" s="159"/>
      <c r="AG15" s="159"/>
    </row>
    <row r="16" spans="1:144" x14ac:dyDescent="0.25">
      <c r="A16" s="200"/>
      <c r="B16" s="200"/>
      <c r="C16" s="252"/>
      <c r="D16" s="22">
        <f>'production plant capacity'!H5</f>
        <v>27</v>
      </c>
      <c r="E16" s="24">
        <f>'production plant capacity'!C10</f>
        <v>30</v>
      </c>
      <c r="F16" s="32" t="s">
        <v>53</v>
      </c>
      <c r="G16" s="32"/>
      <c r="H16" s="121"/>
      <c r="I16" s="35">
        <v>1.39</v>
      </c>
      <c r="J16" s="35" t="s">
        <v>63</v>
      </c>
      <c r="K16" s="35">
        <f>[24]Sheet2!$G$3</f>
        <v>0.20556191331940463</v>
      </c>
      <c r="L16" s="35">
        <f>[25]Sheet2!$F$3</f>
        <v>1.7925313677577104</v>
      </c>
      <c r="M16" s="35">
        <v>0.81</v>
      </c>
      <c r="N16" s="35">
        <v>0.89</v>
      </c>
      <c r="O16" s="35">
        <f>[26]Sheet2!$C$3</f>
        <v>0.84002953992300167</v>
      </c>
      <c r="P16" s="23"/>
      <c r="Q16" s="44">
        <f>I16+K16+N16</f>
        <v>2.4855619133194047</v>
      </c>
      <c r="R16" s="44">
        <f>I16+L16+O16</f>
        <v>4.0225609076807123</v>
      </c>
      <c r="S16" s="88"/>
      <c r="T16" s="35">
        <f>(0.17+0.59+0.13)</f>
        <v>0.89</v>
      </c>
      <c r="U16" s="35">
        <f>(0.17+1.23)+[26]Sheet2!$C$4</f>
        <v>1.9033607673382456</v>
      </c>
      <c r="V16" s="88"/>
      <c r="W16" s="35">
        <f>(0.22+0.24+0.03)</f>
        <v>0.49</v>
      </c>
      <c r="X16" s="35">
        <f>(0.22+0.39)+[26]Sheet2!$C$5</f>
        <v>0.86917392097130663</v>
      </c>
      <c r="Y16" s="88"/>
      <c r="Z16" s="35">
        <f>(1.05+0.01+0.07+0.04)</f>
        <v>1.1700000000000002</v>
      </c>
      <c r="AA16" s="35">
        <f>(1.05+0.01+0.18)+[26]Sheet2!$C$6</f>
        <v>1.3174948516134493</v>
      </c>
      <c r="AB16" s="53"/>
      <c r="AC16" s="53">
        <f t="shared" si="2"/>
        <v>2.5499999999999998</v>
      </c>
      <c r="AD16" s="53">
        <f t="shared" si="2"/>
        <v>4.0900295399230018</v>
      </c>
      <c r="AE16" s="72"/>
      <c r="AF16" s="159"/>
    </row>
    <row r="17" spans="1:144" x14ac:dyDescent="0.25">
      <c r="A17" s="200"/>
      <c r="B17" s="200"/>
      <c r="C17" s="200" t="s">
        <v>31</v>
      </c>
      <c r="D17" s="25">
        <f>'production plant capacity'!M5</f>
        <v>21</v>
      </c>
      <c r="E17" s="18">
        <f>'production plant capacity'!L10</f>
        <v>5</v>
      </c>
      <c r="F17" s="36" t="s">
        <v>184</v>
      </c>
      <c r="G17" s="36"/>
      <c r="H17" s="124">
        <v>2.09</v>
      </c>
      <c r="I17" s="30">
        <v>2.2799999999999998</v>
      </c>
      <c r="J17" s="30">
        <v>0</v>
      </c>
      <c r="K17" s="30">
        <v>0</v>
      </c>
      <c r="L17" s="30">
        <v>0</v>
      </c>
      <c r="M17" s="233">
        <v>0.89</v>
      </c>
      <c r="N17" s="234"/>
      <c r="O17" s="30">
        <f>([25]Sheet2!$C$3)+[26]Sheet2!$C$3</f>
        <v>2.1937591702542085</v>
      </c>
      <c r="P17" s="238">
        <f>H17+M17</f>
        <v>2.98</v>
      </c>
      <c r="Q17" s="239"/>
      <c r="R17" s="30">
        <f>H17+O17</f>
        <v>4.2837591702542088</v>
      </c>
      <c r="S17" s="231">
        <f>(0.15+0.59)</f>
        <v>0.74</v>
      </c>
      <c r="T17" s="232"/>
      <c r="U17" s="169" cm="1">
        <f t="array" ref="U17">(0.94)+[26]Sheet2!$C$4+[27]!result_cap_contr</f>
        <v>1.7744862594521615</v>
      </c>
      <c r="V17" s="240">
        <f>(0.2+0.24)+5.97</f>
        <v>6.41</v>
      </c>
      <c r="W17" s="241"/>
      <c r="X17" s="42" cm="1">
        <f t="array" ref="X17">(0.24)+[26]Sheet2!$C$5+[27]!result_Fixed_O_M_contr</f>
        <v>1.2467113099383189</v>
      </c>
      <c r="Y17" s="240">
        <f>(0.29+1.58+0.06+0.07)+5.97</f>
        <v>7.97</v>
      </c>
      <c r="Z17" s="241"/>
      <c r="AA17" s="42" cm="1">
        <f t="array" ref="AA17">(0.18)+[26]Sheet2!$C$6+[27]!result_feed_contr+[27]!result_Other_Mat_contr+[27]!result_other_var_contr</f>
        <v>1.2527263565165607</v>
      </c>
      <c r="AB17" s="244">
        <f>S17+V17+Y17</f>
        <v>15.120000000000001</v>
      </c>
      <c r="AC17" s="245"/>
      <c r="AD17" s="30">
        <f>U17+X17+AA17</f>
        <v>4.2739239259070416</v>
      </c>
      <c r="AE17" s="72"/>
      <c r="AF17" s="159"/>
      <c r="AG17" s="159"/>
    </row>
    <row r="18" spans="1:144" x14ac:dyDescent="0.25">
      <c r="A18" s="200"/>
      <c r="B18" s="200"/>
      <c r="C18" s="200"/>
      <c r="D18" s="62">
        <f>'production plant capacity'!N5</f>
        <v>15</v>
      </c>
      <c r="E18" s="46">
        <f>'production plant capacity'!L10</f>
        <v>5</v>
      </c>
      <c r="F18" s="47" t="s">
        <v>53</v>
      </c>
      <c r="G18" s="47"/>
      <c r="H18" s="125"/>
      <c r="I18" s="48">
        <v>1.8</v>
      </c>
      <c r="J18" s="48">
        <v>0</v>
      </c>
      <c r="K18" s="48">
        <v>0</v>
      </c>
      <c r="L18" s="48">
        <v>0</v>
      </c>
      <c r="M18" s="250">
        <v>0.89</v>
      </c>
      <c r="N18" s="251"/>
      <c r="O18" s="48">
        <f>([25]Sheet2!$C$3)+[26]Sheet2!$C$3</f>
        <v>2.1937591702542085</v>
      </c>
      <c r="P18" s="233">
        <f>I18+M18</f>
        <v>2.69</v>
      </c>
      <c r="Q18" s="234"/>
      <c r="R18" s="48">
        <f>I18+O18</f>
        <v>3.9937591702542088</v>
      </c>
      <c r="S18" s="233">
        <f>(0.24+0.59)</f>
        <v>0.83</v>
      </c>
      <c r="T18" s="234"/>
      <c r="U18" s="49" cm="1">
        <f t="array" ref="U18">(0.94)+[26]Sheet2!$C$4+[28]!result_cap_contr</f>
        <v>1.6921737463903015</v>
      </c>
      <c r="V18" s="233">
        <f>(0.25+0.24)</f>
        <v>0.49</v>
      </c>
      <c r="W18" s="234"/>
      <c r="X18" s="49" cm="1">
        <f t="array" ref="X18">(0.24)+[26]Sheet2!$C$5+[28]!result_Fixed_O_M_contr</f>
        <v>1.0031211529720325</v>
      </c>
      <c r="Y18" s="242">
        <f>(1.03+0.01+0.07)+[28]Results!$C$23+[28]Results!$C$29</f>
        <v>1.0367323032786731</v>
      </c>
      <c r="Z18" s="243"/>
      <c r="AA18" s="49" cm="1">
        <f t="array" ref="AA18">(0.18)+[26]Sheet2!$C$6+[28]!result_decom_contr+[28]!result_feed_contr+[28]!result_other_var_contr+[28]Results!$C$29</f>
        <v>1.2271645599174763</v>
      </c>
      <c r="AB18" s="244">
        <f>S18+V18+Y18</f>
        <v>2.3567323032786729</v>
      </c>
      <c r="AC18" s="245"/>
      <c r="AD18" s="30">
        <f>U18+X18+AA18</f>
        <v>3.9224594592798105</v>
      </c>
      <c r="AE18" s="72"/>
      <c r="AF18" s="159"/>
    </row>
    <row r="19" spans="1:144" s="57" customFormat="1" x14ac:dyDescent="0.25">
      <c r="A19" s="63"/>
      <c r="B19" s="64"/>
      <c r="C19" s="64"/>
      <c r="D19" s="65"/>
      <c r="H19" s="60"/>
      <c r="I19" s="60"/>
      <c r="J19" s="60"/>
      <c r="K19" s="60"/>
      <c r="L19" s="60"/>
      <c r="M19" s="66"/>
      <c r="N19" s="66"/>
      <c r="O19" s="60"/>
      <c r="P19" s="66"/>
      <c r="Q19" s="66"/>
      <c r="R19" s="60"/>
      <c r="S19" s="93"/>
      <c r="T19" s="66"/>
      <c r="U19" s="67"/>
      <c r="V19" s="93"/>
      <c r="W19" s="66"/>
      <c r="X19" s="67"/>
      <c r="Y19" s="96"/>
      <c r="Z19" s="68"/>
      <c r="AA19" s="67"/>
      <c r="AB19" s="64"/>
      <c r="AC19" s="64"/>
      <c r="AD19" s="60"/>
      <c r="AE19" s="73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</row>
    <row r="20" spans="1:144" ht="51.75" customHeight="1" x14ac:dyDescent="0.25">
      <c r="B20" s="229"/>
      <c r="K20" s="247" t="s">
        <v>54</v>
      </c>
      <c r="L20" s="248"/>
      <c r="M20" s="69" t="s">
        <v>4</v>
      </c>
      <c r="N20" s="70" t="s">
        <v>5</v>
      </c>
      <c r="O20" s="70" t="s">
        <v>6</v>
      </c>
      <c r="P20" s="70" t="s">
        <v>7</v>
      </c>
    </row>
    <row r="21" spans="1:144" ht="59.25" customHeight="1" x14ac:dyDescent="0.25">
      <c r="B21" s="229"/>
      <c r="F21" s="78">
        <f>H9-I9</f>
        <v>-2.5100000000000002</v>
      </c>
      <c r="G21" s="78"/>
      <c r="H21">
        <f>F21/I9</f>
        <v>-0.50401606425702816</v>
      </c>
      <c r="I21" s="78">
        <f>I11*1.06</f>
        <v>3.3814000000000002</v>
      </c>
      <c r="K21" s="38" t="s">
        <v>15</v>
      </c>
    </row>
    <row r="22" spans="1:144" ht="60" x14ac:dyDescent="0.25">
      <c r="B22" s="229"/>
      <c r="F22" s="78">
        <f>H15-I15</f>
        <v>-2.25</v>
      </c>
      <c r="G22" s="78"/>
      <c r="H22">
        <f>F22/I15</f>
        <v>-0.49889135254988914</v>
      </c>
      <c r="I22" s="78">
        <f>1.63*I17</f>
        <v>3.7163999999999993</v>
      </c>
      <c r="K22" s="21" t="s">
        <v>39</v>
      </c>
      <c r="L22" s="38">
        <v>5000</v>
      </c>
    </row>
    <row r="23" spans="1:144" ht="113.25" customHeight="1" x14ac:dyDescent="0.25">
      <c r="B23" s="132"/>
      <c r="K23" s="236" t="s">
        <v>59</v>
      </c>
      <c r="L23" s="236"/>
      <c r="M23" s="236"/>
      <c r="N23" s="236"/>
    </row>
    <row r="24" spans="1:144" ht="75" x14ac:dyDescent="0.25">
      <c r="B24" s="132"/>
      <c r="K24" s="16" t="s">
        <v>60</v>
      </c>
      <c r="L24" s="18" t="s">
        <v>61</v>
      </c>
    </row>
    <row r="25" spans="1:144" ht="90" x14ac:dyDescent="0.25">
      <c r="B25" s="132"/>
      <c r="K25" s="16" t="s">
        <v>62</v>
      </c>
      <c r="L25" s="75">
        <v>611.00281151999991</v>
      </c>
    </row>
    <row r="26" spans="1:144" ht="75" x14ac:dyDescent="0.25">
      <c r="B26" s="111"/>
      <c r="K26" s="16" t="s">
        <v>64</v>
      </c>
      <c r="L26" s="75">
        <v>2100.6616372888766</v>
      </c>
    </row>
    <row r="27" spans="1:144" x14ac:dyDescent="0.25">
      <c r="B27" s="230"/>
    </row>
    <row r="28" spans="1:144" x14ac:dyDescent="0.25">
      <c r="B28" s="230"/>
    </row>
    <row r="29" spans="1:144" x14ac:dyDescent="0.25">
      <c r="B29" s="133"/>
    </row>
    <row r="30" spans="1:144" x14ac:dyDescent="0.25">
      <c r="B30" s="133"/>
    </row>
    <row r="31" spans="1:144" x14ac:dyDescent="0.25">
      <c r="B31" s="133"/>
    </row>
    <row r="32" spans="1:144" x14ac:dyDescent="0.25">
      <c r="B32" s="111"/>
    </row>
    <row r="33" spans="2:2" x14ac:dyDescent="0.25">
      <c r="B33" s="230"/>
    </row>
    <row r="34" spans="2:2" x14ac:dyDescent="0.25">
      <c r="B34" s="230"/>
    </row>
  </sheetData>
  <mergeCells count="61">
    <mergeCell ref="V1:X1"/>
    <mergeCell ref="Y1:AA1"/>
    <mergeCell ref="AB1:AD1"/>
    <mergeCell ref="P1:R1"/>
    <mergeCell ref="S1:U1"/>
    <mergeCell ref="A15:A18"/>
    <mergeCell ref="C11:C12"/>
    <mergeCell ref="B9:B12"/>
    <mergeCell ref="A9:A12"/>
    <mergeCell ref="C15:C16"/>
    <mergeCell ref="C17:C18"/>
    <mergeCell ref="B15:B18"/>
    <mergeCell ref="B3:B6"/>
    <mergeCell ref="K20:L20"/>
    <mergeCell ref="J1:L1"/>
    <mergeCell ref="M12:N12"/>
    <mergeCell ref="P12:Q12"/>
    <mergeCell ref="M17:N17"/>
    <mergeCell ref="P17:Q17"/>
    <mergeCell ref="M18:N18"/>
    <mergeCell ref="P18:Q18"/>
    <mergeCell ref="M1:O1"/>
    <mergeCell ref="C5:C6"/>
    <mergeCell ref="C9:C10"/>
    <mergeCell ref="C1:F1"/>
    <mergeCell ref="C3:C4"/>
    <mergeCell ref="V11:W11"/>
    <mergeCell ref="Y11:Z11"/>
    <mergeCell ref="AB11:AC11"/>
    <mergeCell ref="S12:T12"/>
    <mergeCell ref="V12:W12"/>
    <mergeCell ref="Y12:Z12"/>
    <mergeCell ref="AB12:AC12"/>
    <mergeCell ref="AB5:AC5"/>
    <mergeCell ref="AB6:AC6"/>
    <mergeCell ref="Y5:Z5"/>
    <mergeCell ref="Y6:Z6"/>
    <mergeCell ref="V5:W5"/>
    <mergeCell ref="V6:W6"/>
    <mergeCell ref="V17:W17"/>
    <mergeCell ref="V18:W18"/>
    <mergeCell ref="Y17:Z17"/>
    <mergeCell ref="Y18:Z18"/>
    <mergeCell ref="AB17:AC17"/>
    <mergeCell ref="AB18:AC18"/>
    <mergeCell ref="A2:A6"/>
    <mergeCell ref="B20:B22"/>
    <mergeCell ref="B27:B28"/>
    <mergeCell ref="B33:B34"/>
    <mergeCell ref="S17:T17"/>
    <mergeCell ref="S18:T18"/>
    <mergeCell ref="S5:T5"/>
    <mergeCell ref="S6:T6"/>
    <mergeCell ref="S11:T11"/>
    <mergeCell ref="K23:N23"/>
    <mergeCell ref="M5:N5"/>
    <mergeCell ref="M6:N6"/>
    <mergeCell ref="P6:Q6"/>
    <mergeCell ref="P5:Q5"/>
    <mergeCell ref="M11:N11"/>
    <mergeCell ref="P11:Q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AA0D-CD92-47EA-9281-CB817E0AAB1D}">
  <dimension ref="A1:AI117"/>
  <sheetViews>
    <sheetView tabSelected="1" topLeftCell="A87" zoomScale="90" zoomScaleNormal="90" workbookViewId="0">
      <selection activeCell="T93" sqref="T93"/>
    </sheetView>
  </sheetViews>
  <sheetFormatPr defaultRowHeight="15" x14ac:dyDescent="0.25"/>
  <cols>
    <col min="1" max="1" width="12" customWidth="1"/>
    <col min="2" max="2" width="16" customWidth="1"/>
    <col min="3" max="3" width="13.5703125" customWidth="1"/>
    <col min="4" max="4" width="19.7109375" customWidth="1"/>
    <col min="5" max="5" width="22.5703125" customWidth="1"/>
    <col min="6" max="6" width="21.85546875" customWidth="1"/>
    <col min="7" max="7" width="18.7109375" customWidth="1"/>
    <col min="8" max="8" width="12.28515625" customWidth="1"/>
    <col min="10" max="10" width="11" customWidth="1"/>
    <col min="12" max="12" width="13.42578125" customWidth="1"/>
    <col min="14" max="14" width="9.140625" customWidth="1"/>
    <col min="16" max="16" width="16.42578125" customWidth="1"/>
    <col min="17" max="17" width="15" customWidth="1"/>
    <col min="18" max="18" width="16" customWidth="1"/>
    <col min="19" max="19" width="14.5703125" customWidth="1"/>
    <col min="20" max="20" width="15.140625" customWidth="1"/>
    <col min="21" max="23" width="9.140625" customWidth="1"/>
    <col min="30" max="30" width="13" customWidth="1"/>
    <col min="31" max="31" width="11" customWidth="1"/>
    <col min="32" max="32" width="11.140625" customWidth="1"/>
    <col min="33" max="33" width="15.5703125" customWidth="1"/>
    <col min="34" max="34" width="11.140625" customWidth="1"/>
  </cols>
  <sheetData>
    <row r="1" spans="1:13" ht="18.75" x14ac:dyDescent="0.3">
      <c r="A1" s="258" t="s">
        <v>68</v>
      </c>
      <c r="B1" s="258"/>
      <c r="C1" s="258"/>
    </row>
    <row r="3" spans="1:13" ht="45.75" thickBot="1" x14ac:dyDescent="0.3">
      <c r="B3" s="18" t="s">
        <v>13</v>
      </c>
      <c r="C3" s="173" t="s">
        <v>0</v>
      </c>
      <c r="D3" s="173" t="s">
        <v>1</v>
      </c>
      <c r="E3" s="173" t="s">
        <v>5</v>
      </c>
      <c r="F3" s="173" t="s">
        <v>4</v>
      </c>
      <c r="G3" s="173" t="s">
        <v>127</v>
      </c>
      <c r="H3" s="173" t="s">
        <v>126</v>
      </c>
      <c r="I3" s="173" t="s">
        <v>119</v>
      </c>
      <c r="J3" s="173" t="s">
        <v>121</v>
      </c>
      <c r="K3" s="173" t="s">
        <v>120</v>
      </c>
      <c r="L3" s="173" t="s">
        <v>2</v>
      </c>
      <c r="M3" s="4" t="s">
        <v>8</v>
      </c>
    </row>
    <row r="4" spans="1:13" x14ac:dyDescent="0.25">
      <c r="B4" s="18">
        <v>2025</v>
      </c>
      <c r="C4" s="27">
        <f>'[29]High ZEV H2 LDV SAles'!$I$11</f>
        <v>11.8</v>
      </c>
      <c r="D4" s="27">
        <f>'[29]High ZEV H2 LDV SAles'!$S$11</f>
        <v>8.7000000000000011</v>
      </c>
      <c r="E4" s="27">
        <f>'[29]High ZEV H2 Truck Sales'!$H$11</f>
        <v>8.5749999999999965E-2</v>
      </c>
      <c r="F4" s="27">
        <f>'[29]High ZEV H2 Truck Sales'!$D$11</f>
        <v>0.32262500000000005</v>
      </c>
      <c r="G4" s="27">
        <f>'[29]High ZEV H2 Truck Sales'!$N$11</f>
        <v>0</v>
      </c>
      <c r="H4" s="27">
        <f>'[29]High ZEV H2 Truck Sales'!$U$11</f>
        <v>0.33875000000000033</v>
      </c>
      <c r="I4" s="27">
        <f>'[29]High ZEV H2 Truck Sales'!$AB$11</f>
        <v>0</v>
      </c>
      <c r="J4" s="27">
        <f>'[29]High ZEV H2 Truck Sales'!$AI$11</f>
        <v>0</v>
      </c>
      <c r="K4" s="27">
        <f>'[29]High ZEV H2 Truck Sales'!$AO$11</f>
        <v>0</v>
      </c>
      <c r="L4" s="27">
        <f>'[29]High ZEV H2 Truck Sales'!$AT$11</f>
        <v>0</v>
      </c>
      <c r="M4" s="7">
        <f>SUM(C4:L4)</f>
        <v>21.247125</v>
      </c>
    </row>
    <row r="5" spans="1:13" x14ac:dyDescent="0.25">
      <c r="B5" s="18">
        <v>2030</v>
      </c>
      <c r="C5" s="27">
        <f>'[29]High ZEV H2 LDV SAles'!$I$16</f>
        <v>127.84999999999998</v>
      </c>
      <c r="D5" s="27">
        <f>'[29]High ZEV H2 LDV SAles'!$S$16</f>
        <v>88.907727272727271</v>
      </c>
      <c r="E5" s="27">
        <f>'[29]High ZEV H2 Truck Sales'!$H$16</f>
        <v>0.62499999999999944</v>
      </c>
      <c r="F5" s="27">
        <f>'[29]High ZEV H2 Truck Sales'!$D$16</f>
        <v>3.7125000000000012</v>
      </c>
      <c r="G5" s="27">
        <f>'[29]High ZEV H2 Truck Sales'!$N$16</f>
        <v>2.8000000000000029</v>
      </c>
      <c r="H5" s="27">
        <f>'[29]High ZEV H2 Truck Sales'!$U$16</f>
        <v>0.69000000000000083</v>
      </c>
      <c r="I5" s="27">
        <f>'[29]High ZEV H2 Truck Sales'!$AB$16</f>
        <v>0.22000000000000011</v>
      </c>
      <c r="J5" s="27">
        <f>'[29]High ZEV H2 Truck Sales'!$AI$16</f>
        <v>0.76500000000000057</v>
      </c>
      <c r="K5" s="27">
        <f>'[29]High ZEV H2 Truck Sales'!$AO$16</f>
        <v>0.23500000000000038</v>
      </c>
      <c r="L5" s="27">
        <f>'[29]High ZEV H2 Truck Sales'!$AT$16</f>
        <v>11.849999999999991</v>
      </c>
      <c r="M5" s="7">
        <f t="shared" ref="M5:M9" si="0">SUM(C5:L5)</f>
        <v>237.65522727272727</v>
      </c>
    </row>
    <row r="6" spans="1:13" x14ac:dyDescent="0.25">
      <c r="B6" s="18">
        <v>2035</v>
      </c>
      <c r="C6" s="27">
        <f>'[29]High ZEV H2 LDV SAles'!$I$21</f>
        <v>339.81818181818159</v>
      </c>
      <c r="D6" s="27">
        <f>'[29]High ZEV H2 LDV SAles'!$S$21</f>
        <v>255.54545454545459</v>
      </c>
      <c r="E6" s="27">
        <f>'[29]High ZEV H2 Truck Sales'!$H$21</f>
        <v>1.0199999999999987</v>
      </c>
      <c r="F6" s="27">
        <f>'[29]High ZEV H2 Truck Sales'!$D$21</f>
        <v>7.962500000000003</v>
      </c>
      <c r="G6" s="27">
        <f>'[29]High ZEV H2 Truck Sales'!$N$21</f>
        <v>8.9250000000000096</v>
      </c>
      <c r="H6" s="27">
        <f>'[29]High ZEV H2 Truck Sales'!$U$21</f>
        <v>1.1240000000000014</v>
      </c>
      <c r="I6" s="27">
        <f>'[29]High ZEV H2 Truck Sales'!$AB$21</f>
        <v>0.72800000000000054</v>
      </c>
      <c r="J6" s="27">
        <f>'[29]High ZEV H2 Truck Sales'!$AI$21</f>
        <v>2.3062500000000021</v>
      </c>
      <c r="K6" s="27">
        <f>'[29]High ZEV H2 Truck Sales'!$AO$21</f>
        <v>0.96500000000000186</v>
      </c>
      <c r="L6" s="27">
        <f>'[29]High ZEV H2 Truck Sales'!$AT$21</f>
        <v>32.199999999999974</v>
      </c>
      <c r="M6" s="7">
        <f t="shared" si="0"/>
        <v>650.59438636363598</v>
      </c>
    </row>
    <row r="7" spans="1:13" x14ac:dyDescent="0.25">
      <c r="B7" s="18">
        <v>2040</v>
      </c>
      <c r="C7" s="27">
        <f>'[29]High ZEV H2 LDV SAles'!$I$26</f>
        <v>518.49545454545398</v>
      </c>
      <c r="D7" s="27">
        <f>'[29]High ZEV H2 LDV SAles'!$S$26</f>
        <v>395.01363636363646</v>
      </c>
      <c r="E7" s="27">
        <f>'[29]High ZEV H2 Truck Sales'!$H$26</f>
        <v>1.3519999999999979</v>
      </c>
      <c r="F7" s="27">
        <f>'[29]High ZEV H2 Truck Sales'!$D$26</f>
        <v>10.925000000000006</v>
      </c>
      <c r="G7" s="27">
        <f>'[29]High ZEV H2 Truck Sales'!$N$26</f>
        <v>15.750000000000021</v>
      </c>
      <c r="H7" s="27">
        <f>'[29]High ZEV H2 Truck Sales'!$U$26</f>
        <v>1.7875000000000028</v>
      </c>
      <c r="I7" s="27">
        <f>'[29]High ZEV H2 Truck Sales'!$AB$26</f>
        <v>1.1750000000000012</v>
      </c>
      <c r="J7" s="27">
        <f>'[29]High ZEV H2 Truck Sales'!$AI$26</f>
        <v>3.8625000000000043</v>
      </c>
      <c r="K7" s="27">
        <f>'[29]High ZEV H2 Truck Sales'!$AO$26</f>
        <v>1.2375000000000027</v>
      </c>
      <c r="L7" s="27">
        <f>'[29]High ZEV H2 Truck Sales'!$AT$26</f>
        <v>40.999999999999957</v>
      </c>
      <c r="M7" s="7">
        <f t="shared" si="0"/>
        <v>990.59859090909026</v>
      </c>
    </row>
    <row r="8" spans="1:13" x14ac:dyDescent="0.25">
      <c r="B8" s="18">
        <v>2045</v>
      </c>
      <c r="C8" s="27">
        <f>'[29]High ZEV H2 LDV SAles'!$I$31</f>
        <v>536.81818181818107</v>
      </c>
      <c r="D8" s="27">
        <f>'[29]High ZEV H2 LDV SAles'!$S$31</f>
        <v>414.54545454545473</v>
      </c>
      <c r="E8" s="27">
        <f>'[29]High ZEV H2 Truck Sales'!$H$31</f>
        <v>1.7754999999999965</v>
      </c>
      <c r="F8" s="27">
        <f>'[29]High ZEV H2 Truck Sales'!$D$31</f>
        <v>11.625000000000009</v>
      </c>
      <c r="G8" s="27">
        <f>'[29]High ZEV H2 Truck Sales'!$N$31</f>
        <v>16.625000000000025</v>
      </c>
      <c r="H8" s="27">
        <f>'[29]High ZEV H2 Truck Sales'!$U$31</f>
        <v>1.8187500000000032</v>
      </c>
      <c r="I8" s="27">
        <f>'[29]High ZEV H2 Truck Sales'!$AB$31</f>
        <v>1.2125000000000015</v>
      </c>
      <c r="J8" s="27">
        <f>'[29]High ZEV H2 Truck Sales'!$AI$31</f>
        <v>3.881250000000005</v>
      </c>
      <c r="K8" s="27">
        <f>'[29]High ZEV H2 Truck Sales'!$AO$31</f>
        <v>1.2687500000000032</v>
      </c>
      <c r="L8" s="27">
        <f>'[29]High ZEV H2 Truck Sales'!$AT$31</f>
        <v>41.74999999999995</v>
      </c>
      <c r="M8" s="7">
        <f t="shared" si="0"/>
        <v>1031.3203863636356</v>
      </c>
    </row>
    <row r="9" spans="1:13" x14ac:dyDescent="0.25">
      <c r="B9" s="18">
        <v>2050</v>
      </c>
      <c r="C9" s="27">
        <f>'[29]High ZEV H2 LDV SAles'!$I$36</f>
        <v>525</v>
      </c>
      <c r="D9" s="27">
        <f>'[29]High ZEV H2 LDV SAles'!$S$36</f>
        <v>410</v>
      </c>
      <c r="E9" s="27">
        <f>'[29]High ZEV H2 Truck Sales'!$H$36</f>
        <v>1.8759999999999999</v>
      </c>
      <c r="F9" s="27">
        <f>'[29]High ZEV H2 Truck Sales'!$D$36</f>
        <v>12</v>
      </c>
      <c r="G9" s="27">
        <f>'[29]High ZEV H2 Truck Sales'!$N$36</f>
        <v>17.5</v>
      </c>
      <c r="H9" s="27">
        <f>'[29]High ZEV H2 Truck Sales'!$U$36</f>
        <v>1.85</v>
      </c>
      <c r="I9" s="27">
        <f>'[29]High ZEV H2 Truck Sales'!$AB$36</f>
        <v>1.25</v>
      </c>
      <c r="J9" s="27">
        <f>'[29]High ZEV H2 Truck Sales'!$AI$36</f>
        <v>3.9</v>
      </c>
      <c r="K9" s="27">
        <f>'[29]High ZEV H2 Truck Sales'!$AO$36</f>
        <v>1.3</v>
      </c>
      <c r="L9" s="27">
        <f>'[29]High ZEV H2 Truck Sales'!$AT$36</f>
        <v>42.5</v>
      </c>
      <c r="M9" s="7">
        <f t="shared" si="0"/>
        <v>1017.1759999999999</v>
      </c>
    </row>
    <row r="21" spans="1:14" ht="18.75" x14ac:dyDescent="0.3">
      <c r="A21" s="258" t="s">
        <v>69</v>
      </c>
      <c r="B21" s="258"/>
      <c r="C21" s="258"/>
    </row>
    <row r="23" spans="1:14" ht="45.75" thickBot="1" x14ac:dyDescent="0.3">
      <c r="B23" s="18" t="s">
        <v>13</v>
      </c>
      <c r="C23" s="114" t="s">
        <v>0</v>
      </c>
      <c r="D23" s="114" t="s">
        <v>1</v>
      </c>
      <c r="E23" s="114" t="s">
        <v>5</v>
      </c>
      <c r="F23" s="114" t="s">
        <v>4</v>
      </c>
      <c r="G23" s="114" t="s">
        <v>127</v>
      </c>
      <c r="H23" s="114" t="s">
        <v>126</v>
      </c>
      <c r="I23" s="114" t="s">
        <v>119</v>
      </c>
      <c r="J23" s="114" t="s">
        <v>121</v>
      </c>
      <c r="K23" s="114" t="s">
        <v>120</v>
      </c>
      <c r="L23" s="114" t="s">
        <v>2</v>
      </c>
      <c r="M23" s="4" t="s">
        <v>8</v>
      </c>
    </row>
    <row r="24" spans="1:14" x14ac:dyDescent="0.25">
      <c r="B24" s="18">
        <v>2025</v>
      </c>
      <c r="C24" s="27">
        <f>'[29]High ZEV H2 LDV stock'!$G$11</f>
        <v>46.563817957883778</v>
      </c>
      <c r="D24" s="27">
        <f>'[29]High ZEV H2 LDV stock'!$P$11</f>
        <v>26.102308398489772</v>
      </c>
      <c r="E24" s="27">
        <f>'[29]High ZEV H2 Truck stock'!$D$11</f>
        <v>0.94700921164339069</v>
      </c>
      <c r="F24" s="27">
        <f>'[29]High ZEV H2 Truck stock'!$J$11</f>
        <v>0.25110222732260562</v>
      </c>
      <c r="G24" s="27">
        <f>'[29]High ZEV H2 Truck stock'!$R$11</f>
        <v>3.1133793165018875E-5</v>
      </c>
      <c r="H24" s="27">
        <f>'[29]High ZEV H2 Truck stock'!$AA$11</f>
        <v>1.0158574258716599</v>
      </c>
      <c r="I24" s="27">
        <f>'[29]High ZEV H2 Truck stock'!$AJ$11</f>
        <v>1.6577613289328497E-10</v>
      </c>
      <c r="J24" s="27">
        <f>'[29]High ZEV H2 Truck stock'!$AS$11</f>
        <v>1.2808614320135647E-15</v>
      </c>
      <c r="K24" s="27">
        <f>'[29]High ZEV H2 Truck stock'!$BA$11</f>
        <v>2.3403279219432458E-7</v>
      </c>
      <c r="L24" s="27">
        <f>'[29]High ZEV H2 Truck stock'!$BH$11</f>
        <v>0</v>
      </c>
      <c r="M24" s="7">
        <f>SUM(C24:L24)</f>
        <v>74.880126589202945</v>
      </c>
      <c r="N24">
        <f>(C24+D24)/M24*100</f>
        <v>97.043273918358153</v>
      </c>
    </row>
    <row r="25" spans="1:14" x14ac:dyDescent="0.25">
      <c r="B25" s="18">
        <v>2030</v>
      </c>
      <c r="C25" s="27">
        <f>'[29]High ZEV H2 LDV stock'!$G$16</f>
        <v>446.68608831613039</v>
      </c>
      <c r="D25" s="27">
        <f>'[29]High ZEV H2 LDV stock'!$P$16</f>
        <v>306.43338527026532</v>
      </c>
      <c r="E25" s="27">
        <f>'[29]High ZEV H2 Truck stock'!$D$16</f>
        <v>12.332852561891693</v>
      </c>
      <c r="F25" s="27">
        <f>'[29]High ZEV H2 Truck stock'!$J$16</f>
        <v>2.2119009382208628</v>
      </c>
      <c r="G25" s="27">
        <f>'[29]High ZEV H2 Truck stock'!$R$16</f>
        <v>8.2352758587743971</v>
      </c>
      <c r="H25" s="27">
        <f>'[29]High ZEV H2 Truck stock'!$AA$16</f>
        <v>3.6254850167812713</v>
      </c>
      <c r="I25" s="27">
        <f>'[29]High ZEV H2 Truck stock'!$AJ$16</f>
        <v>0.65247727882170659</v>
      </c>
      <c r="J25" s="27">
        <f>'[29]High ZEV H2 Truck stock'!$AS$16</f>
        <v>2.284948995943028</v>
      </c>
      <c r="K25" s="27">
        <f>'[29]High ZEV H2 Truck stock'!$BA$16</f>
        <v>0.69786767816326623</v>
      </c>
      <c r="L25" s="27">
        <f>'[29]High ZEV H2 Truck stock'!$BH$16</f>
        <v>35.261875086749122</v>
      </c>
      <c r="M25" s="7">
        <f>SUM(C25:L25)</f>
        <v>818.42215700174108</v>
      </c>
      <c r="N25">
        <f t="shared" ref="N25:N29" si="1">(C25+D25)/M25*100</f>
        <v>92.020904754756486</v>
      </c>
    </row>
    <row r="26" spans="1:14" x14ac:dyDescent="0.25">
      <c r="B26" s="18">
        <v>2035</v>
      </c>
      <c r="C26" s="27">
        <f>'[29]High ZEV H2 LDV stock'!$G$21</f>
        <v>1663.9365297298482</v>
      </c>
      <c r="D26" s="27">
        <f>'[29]High ZEV H2 LDV stock'!$P$21</f>
        <v>1217.6992767919812</v>
      </c>
      <c r="E26" s="27">
        <f>'[29]High ZEV H2 Truck stock'!$D$21</f>
        <v>41.129307206857625</v>
      </c>
      <c r="F26" s="27">
        <f>'[29]High ZEV H2 Truck stock'!$J$21</f>
        <v>6.0982043303539228</v>
      </c>
      <c r="G26" s="27">
        <f>'[29]High ZEV H2 Truck stock'!$R$21</f>
        <v>39.235462530629206</v>
      </c>
      <c r="H26" s="27">
        <f>'[29]High ZEV H2 Truck stock'!$AA$21</f>
        <v>7.743657534578511</v>
      </c>
      <c r="I26" s="27">
        <f>'[29]High ZEV H2 Truck stock'!$AJ$21</f>
        <v>3.198472817081389</v>
      </c>
      <c r="J26" s="27">
        <f>'[29]High ZEV H2 Truck stock'!$AS$21</f>
        <v>10.438975982892636</v>
      </c>
      <c r="K26" s="27">
        <f>'[29]High ZEV H2 Truck stock'!$BA$21</f>
        <v>3.9575463892641221</v>
      </c>
      <c r="L26" s="27">
        <f>'[29]High ZEV H2 Truck stock'!$BH$21</f>
        <v>150.60333390745214</v>
      </c>
      <c r="M26" s="7">
        <f>SUM(C26:L26)</f>
        <v>3144.040767220939</v>
      </c>
      <c r="N26">
        <f t="shared" si="1"/>
        <v>91.653894458529777</v>
      </c>
    </row>
    <row r="27" spans="1:14" x14ac:dyDescent="0.25">
      <c r="B27" s="18">
        <v>2040</v>
      </c>
      <c r="C27" s="27">
        <f>'[29]High ZEV H2 LDV stock'!$G$26</f>
        <v>3644.734428681204</v>
      </c>
      <c r="D27" s="27">
        <f>'[29]High ZEV H2 LDV stock'!$P$26</f>
        <v>2772.958452790413</v>
      </c>
      <c r="E27" s="27">
        <f>'[29]High ZEV H2 Truck stock'!$D$26</f>
        <v>82.715259214225597</v>
      </c>
      <c r="F27" s="27">
        <f>'[29]High ZEV H2 Truck stock'!$J$26</f>
        <v>11.153873939965374</v>
      </c>
      <c r="G27" s="27">
        <f>'[29]High ZEV H2 Truck stock'!$R$26</f>
        <v>97.689472085459656</v>
      </c>
      <c r="H27" s="27">
        <f>'[29]High ZEV H2 Truck stock'!$AA$26</f>
        <v>13.82680213641628</v>
      </c>
      <c r="I27" s="27">
        <f>'[29]High ZEV H2 Truck stock'!$AJ$26</f>
        <v>7.7369448089989339</v>
      </c>
      <c r="J27" s="27">
        <f>'[29]High ZEV H2 Truck stock'!$AS$26</f>
        <v>24.992014183461912</v>
      </c>
      <c r="K27" s="27">
        <f>'[29]High ZEV H2 Truck stock'!$BA$26</f>
        <v>9.0036423088785398</v>
      </c>
      <c r="L27" s="27">
        <f>'[29]High ZEV H2 Truck stock'!$BH$26</f>
        <v>312.99771640098771</v>
      </c>
      <c r="M27" s="7">
        <f>SUM(C27:L27)</f>
        <v>6977.808606550012</v>
      </c>
      <c r="N27">
        <f t="shared" si="1"/>
        <v>91.972899277394646</v>
      </c>
    </row>
    <row r="28" spans="1:14" x14ac:dyDescent="0.25">
      <c r="B28" s="18">
        <v>2045</v>
      </c>
      <c r="C28" s="27">
        <f>'[29]High ZEV H2 LDV stock'!$G$31</f>
        <v>5583.1938224108981</v>
      </c>
      <c r="D28" s="27">
        <f>'[29]High ZEV H2 LDV stock'!$P$31</f>
        <v>4415.3734946331324</v>
      </c>
      <c r="E28" s="27">
        <f>'[29]High ZEV H2 Truck stock'!$D$31</f>
        <v>124.66311470106567</v>
      </c>
      <c r="F28" s="27">
        <f>'[29]High ZEV H2 Truck stock'!$J$31</f>
        <v>17.092448098678801</v>
      </c>
      <c r="G28" s="27">
        <f>'[29]High ZEV H2 Truck stock'!$R$31</f>
        <v>160.7830724968687</v>
      </c>
      <c r="H28" s="27">
        <f>'[29]High ZEV H2 Truck stock'!$AA$31</f>
        <v>19.924525683854501</v>
      </c>
      <c r="I28" s="27">
        <f>'[29]High ZEV H2 Truck stock'!$AJ$31</f>
        <v>12.413210356193515</v>
      </c>
      <c r="J28" s="27">
        <f>'[29]High ZEV H2 Truck stock'!$AS$31</f>
        <v>39.694643346742716</v>
      </c>
      <c r="K28" s="27">
        <f>'[29]High ZEV H2 Truck stock'!$BA$31</f>
        <v>13.569382487136554</v>
      </c>
      <c r="L28" s="27">
        <f>'[29]High ZEV H2 Truck stock'!$BH$31</f>
        <v>458.15904883771361</v>
      </c>
      <c r="M28" s="7">
        <f t="shared" ref="M28:M29" si="2">SUM(C28:L28)</f>
        <v>10844.866763052283</v>
      </c>
      <c r="N28">
        <f t="shared" si="1"/>
        <v>92.19631310832203</v>
      </c>
    </row>
    <row r="29" spans="1:14" x14ac:dyDescent="0.25">
      <c r="B29" s="18">
        <v>2050</v>
      </c>
      <c r="C29" s="27">
        <f>'[29]High ZEV H2 LDV stock'!$G$36</f>
        <v>6849.8741937122149</v>
      </c>
      <c r="D29" s="27">
        <f>'[29]High ZEV H2 LDV stock'!$P$36</f>
        <v>5686.4395113528253</v>
      </c>
      <c r="E29" s="27">
        <f>'[29]High ZEV H2 Truck stock'!$D$36</f>
        <v>157.21658188811244</v>
      </c>
      <c r="F29" s="27">
        <f>'[29]High ZEV H2 Truck stock'!$J$36</f>
        <v>22.376159261843124</v>
      </c>
      <c r="G29" s="27">
        <f>'[29]High ZEV H2 Truck stock'!$R$36</f>
        <v>211.4894257357183</v>
      </c>
      <c r="H29" s="27">
        <f>'[29]High ZEV H2 Truck stock'!$AA$36</f>
        <v>24.170384917497231</v>
      </c>
      <c r="I29" s="27">
        <f>'[29]High ZEV H2 Truck stock'!$AJ$36</f>
        <v>16.016127511401876</v>
      </c>
      <c r="J29" s="27">
        <f>'[29]High ZEV H2 Truck stock'!$AS$36</f>
        <v>50.074518332508291</v>
      </c>
      <c r="K29" s="27">
        <f>'[29]High ZEV H2 Truck stock'!$BA$36</f>
        <v>16.848928196115981</v>
      </c>
      <c r="L29" s="27">
        <f>'[29]High ZEV H2 Truck stock'!$BH$36</f>
        <v>564.36316577828097</v>
      </c>
      <c r="M29" s="7">
        <f t="shared" si="2"/>
        <v>13598.86899668652</v>
      </c>
      <c r="N29">
        <f t="shared" si="1"/>
        <v>92.186443652921568</v>
      </c>
    </row>
    <row r="43" spans="1:13" ht="39" customHeight="1" x14ac:dyDescent="0.3">
      <c r="A43" s="257" t="s">
        <v>9</v>
      </c>
      <c r="B43" s="257"/>
      <c r="C43" s="257"/>
      <c r="D43" s="257"/>
      <c r="E43" s="257"/>
      <c r="F43" s="257"/>
    </row>
    <row r="45" spans="1:13" ht="45.75" thickBot="1" x14ac:dyDescent="0.3">
      <c r="B45" s="18" t="s">
        <v>13</v>
      </c>
      <c r="C45" s="114" t="s">
        <v>0</v>
      </c>
      <c r="D45" s="114" t="s">
        <v>1</v>
      </c>
      <c r="E45" s="114" t="s">
        <v>5</v>
      </c>
      <c r="F45" s="114" t="s">
        <v>4</v>
      </c>
      <c r="G45" s="114" t="s">
        <v>127</v>
      </c>
      <c r="H45" s="114" t="s">
        <v>126</v>
      </c>
      <c r="I45" s="114" t="s">
        <v>119</v>
      </c>
      <c r="J45" s="114" t="s">
        <v>121</v>
      </c>
      <c r="K45" s="114" t="s">
        <v>120</v>
      </c>
      <c r="L45" s="114" t="s">
        <v>2</v>
      </c>
      <c r="M45" s="4" t="s">
        <v>8</v>
      </c>
    </row>
    <row r="46" spans="1:13" x14ac:dyDescent="0.25">
      <c r="B46" s="18">
        <v>2020</v>
      </c>
      <c r="C46" s="27">
        <f>'[30]VMT, fuel econ'!$C$5</f>
        <v>64.849459827911915</v>
      </c>
      <c r="D46" s="27">
        <f>'[30]VMT, fuel econ'!$F$5</f>
        <v>46.22</v>
      </c>
      <c r="E46" s="27">
        <f>'[30]VMT, fuel econ'!$I$5</f>
        <v>6.8174983154473452</v>
      </c>
      <c r="F46" s="27">
        <f>'[30]VMT, fuel econ'!$L$5</f>
        <v>10.553101419269508</v>
      </c>
      <c r="G46" s="27">
        <f>'[30]VMT, fuel econ'!$O$5</f>
        <v>14.791464212174969</v>
      </c>
      <c r="H46" s="27">
        <f>'[30]VMT, fuel econ'!$R$5</f>
        <v>8.9562809836940218</v>
      </c>
      <c r="I46" s="27">
        <f>'[30]VMT, fuel econ'!$U$5</f>
        <v>14.122753619685145</v>
      </c>
      <c r="J46" s="27">
        <f>'[30]VMT, fuel econ'!$X$5</f>
        <v>8.4543334439855986</v>
      </c>
      <c r="K46" s="27">
        <f>'[30]VMT, fuel econ'!$AA$5</f>
        <v>15.537210082798333</v>
      </c>
      <c r="L46" s="27">
        <f>'[30]VMT, fuel econ'!$AD$5</f>
        <v>38.72</v>
      </c>
      <c r="M46" s="7"/>
    </row>
    <row r="47" spans="1:13" x14ac:dyDescent="0.25">
      <c r="B47" s="18">
        <v>2025</v>
      </c>
      <c r="C47" s="27">
        <f>'[30]VMT, fuel econ'!$C$10</f>
        <v>68.82478819134846</v>
      </c>
      <c r="D47" s="27">
        <f>'[30]VMT, fuel econ'!$F$10</f>
        <v>47.408657879814101</v>
      </c>
      <c r="E47" s="27">
        <f>'[30]VMT, fuel econ'!$I$10</f>
        <v>8.2246478467199005</v>
      </c>
      <c r="F47" s="27">
        <f>'[30]VMT, fuel econ'!$L$10</f>
        <v>12.29836982279908</v>
      </c>
      <c r="G47" s="27">
        <f>'[30]VMT, fuel econ'!$O$10</f>
        <v>15.389557869218947</v>
      </c>
      <c r="H47" s="27">
        <f>'[30]VMT, fuel econ'!$R$10</f>
        <v>10.141771907853999</v>
      </c>
      <c r="I47" s="27">
        <f>'[30]VMT, fuel econ'!$U$10</f>
        <v>16.187579607998142</v>
      </c>
      <c r="J47" s="27">
        <f>'[30]VMT, fuel econ'!$X$10</f>
        <v>9.7764926619548618</v>
      </c>
      <c r="K47" s="115">
        <f>'[30]VMT, fuel econ'!$AA$10</f>
        <v>18.264441639723241</v>
      </c>
      <c r="L47" s="115">
        <f>'[30]VMT, fuel econ'!$AD$10</f>
        <v>42.076457931533099</v>
      </c>
      <c r="M47" s="7"/>
    </row>
    <row r="48" spans="1:13" x14ac:dyDescent="0.25">
      <c r="B48" s="18">
        <v>2030</v>
      </c>
      <c r="C48" s="27">
        <f>'[30]VMT, fuel econ'!$C$15</f>
        <v>71.757620606239783</v>
      </c>
      <c r="D48" s="27">
        <f>'[30]VMT, fuel econ'!$F$15</f>
        <v>48.695282883288336</v>
      </c>
      <c r="E48" s="27">
        <f>'[30]VMT, fuel econ'!$I$15</f>
        <v>8.9810105500900672</v>
      </c>
      <c r="F48" s="27">
        <f>'[30]VMT, fuel econ'!$L$15</f>
        <v>13.216499517853721</v>
      </c>
      <c r="G48" s="27">
        <f>'[30]VMT, fuel econ'!$O$15</f>
        <v>18.13247653121072</v>
      </c>
      <c r="H48" s="27">
        <f>'[30]VMT, fuel econ'!$R$15</f>
        <v>10.711922615102159</v>
      </c>
      <c r="I48" s="27">
        <f>'[30]VMT, fuel econ'!$U$15</f>
        <v>17.053343310292689</v>
      </c>
      <c r="J48" s="27">
        <f>'[30]VMT, fuel econ'!$X$15</f>
        <v>10.400470012771267</v>
      </c>
      <c r="K48" s="115">
        <f>'[30]VMT, fuel econ'!$AA$15</f>
        <v>19.485368064746247</v>
      </c>
      <c r="L48" s="115">
        <f>'[30]VMT, fuel econ'!$AD$15</f>
        <v>47.124072044178931</v>
      </c>
      <c r="M48" s="7"/>
    </row>
    <row r="49" spans="1:13" x14ac:dyDescent="0.25">
      <c r="B49" s="18">
        <v>2035</v>
      </c>
      <c r="C49" s="27">
        <f>'[30]VMT, fuel econ'!$C$20</f>
        <v>74.029403480274226</v>
      </c>
      <c r="D49" s="27">
        <f>'[30]VMT, fuel econ'!$F$20</f>
        <v>49.536201773324116</v>
      </c>
      <c r="E49" s="27">
        <f>'[30]VMT, fuel econ'!$I$20</f>
        <v>9.3985970245972883</v>
      </c>
      <c r="F49" s="27">
        <f>'[30]VMT, fuel econ'!$L$20</f>
        <v>13.609964896873075</v>
      </c>
      <c r="G49" s="27">
        <f>'[30]VMT, fuel econ'!$O$20</f>
        <v>18.59742162365816</v>
      </c>
      <c r="H49" s="27">
        <f>'[30]VMT, fuel econ'!$R$20</f>
        <v>11.035278748962256</v>
      </c>
      <c r="I49" s="27">
        <f>'[30]VMT, fuel econ'!$U$20</f>
        <v>17.652049014850586</v>
      </c>
      <c r="J49" s="27">
        <f>'[30]VMT, fuel econ'!$X$20</f>
        <v>10.716309339916286</v>
      </c>
      <c r="K49" s="115">
        <f>'[30]VMT, fuel econ'!$AA$20</f>
        <v>20.295733493285994</v>
      </c>
      <c r="L49" s="115">
        <f>'[30]VMT, fuel econ'!$AD$20</f>
        <v>49.637884826158995</v>
      </c>
      <c r="M49" s="7"/>
    </row>
    <row r="50" spans="1:13" x14ac:dyDescent="0.25">
      <c r="C50">
        <f>(C49-C46)/C46</f>
        <v>0.14155775046889696</v>
      </c>
      <c r="D50">
        <f t="shared" ref="D50:L50" si="3">(D49-D46)/D46</f>
        <v>7.1748199336307161E-2</v>
      </c>
      <c r="E50">
        <f t="shared" si="3"/>
        <v>0.37859909745802095</v>
      </c>
      <c r="F50">
        <f t="shared" si="3"/>
        <v>0.28966493887966116</v>
      </c>
      <c r="G50">
        <f t="shared" si="3"/>
        <v>0.25730768481665789</v>
      </c>
      <c r="H50">
        <f t="shared" si="3"/>
        <v>0.23212734940465773</v>
      </c>
      <c r="I50">
        <f t="shared" si="3"/>
        <v>0.24990136415366593</v>
      </c>
      <c r="J50">
        <f t="shared" si="3"/>
        <v>0.26755224535647504</v>
      </c>
      <c r="K50">
        <f t="shared" si="3"/>
        <v>0.30626627207390023</v>
      </c>
      <c r="L50">
        <f t="shared" si="3"/>
        <v>0.28197016596485014</v>
      </c>
      <c r="M50">
        <f>AVERAGE(C50:L50)</f>
        <v>0.24766950679130928</v>
      </c>
    </row>
    <row r="53" spans="1:13" ht="18.75" x14ac:dyDescent="0.3">
      <c r="A53" s="257" t="s">
        <v>10</v>
      </c>
      <c r="B53" s="257"/>
      <c r="C53" s="257"/>
      <c r="D53" s="257"/>
      <c r="E53" s="257"/>
      <c r="F53" s="257"/>
    </row>
    <row r="54" spans="1:13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3" ht="45.75" thickBot="1" x14ac:dyDescent="0.3">
      <c r="A55" s="20"/>
      <c r="B55" s="18" t="s">
        <v>13</v>
      </c>
      <c r="C55" s="114" t="s">
        <v>0</v>
      </c>
      <c r="D55" s="114" t="s">
        <v>1</v>
      </c>
      <c r="E55" s="114" t="s">
        <v>5</v>
      </c>
      <c r="F55" s="114" t="s">
        <v>4</v>
      </c>
      <c r="G55" s="114" t="s">
        <v>127</v>
      </c>
      <c r="H55" s="114" t="s">
        <v>126</v>
      </c>
      <c r="I55" s="114" t="s">
        <v>119</v>
      </c>
      <c r="J55" s="114" t="s">
        <v>121</v>
      </c>
      <c r="K55" s="114" t="s">
        <v>120</v>
      </c>
      <c r="L55" s="114" t="s">
        <v>2</v>
      </c>
      <c r="M55" s="4" t="s">
        <v>8</v>
      </c>
    </row>
    <row r="56" spans="1:13" x14ac:dyDescent="0.25">
      <c r="A56" s="20"/>
      <c r="B56" s="18">
        <v>2020</v>
      </c>
      <c r="C56" s="27">
        <f>'[30]VMT, fuel econ'!$B$5</f>
        <v>14272.196081272346</v>
      </c>
      <c r="D56" s="27">
        <f>'[30]VMT, fuel econ'!$E$5</f>
        <v>0</v>
      </c>
      <c r="E56" s="27">
        <f>'[30]VMT, fuel econ'!$H$5</f>
        <v>0</v>
      </c>
      <c r="F56" s="27">
        <f>'[30]VMT, fuel econ'!$K$5</f>
        <v>0</v>
      </c>
      <c r="G56" s="27">
        <f>'[30]VMT, fuel econ'!$N$5</f>
        <v>0</v>
      </c>
      <c r="H56" s="27">
        <f>'[30]VMT, fuel econ'!$Q$5</f>
        <v>20313.504680080336</v>
      </c>
      <c r="I56" s="27">
        <f>'[30]VMT, fuel econ'!$T$5</f>
        <v>23717.35057072981</v>
      </c>
      <c r="J56" s="27">
        <f>'[30]VMT, fuel econ'!$W$5</f>
        <v>0</v>
      </c>
      <c r="K56" s="115">
        <f>'[30]VMT, fuel econ'!$Z$5</f>
        <v>0</v>
      </c>
      <c r="L56" s="115">
        <f>'[30]VMT, fuel econ'!$AC$5</f>
        <v>0</v>
      </c>
      <c r="M56" s="7"/>
    </row>
    <row r="57" spans="1:13" x14ac:dyDescent="0.25">
      <c r="A57" s="20"/>
      <c r="B57" s="18">
        <v>2025</v>
      </c>
      <c r="C57" s="27">
        <f>'[30]VMT, fuel econ'!$B$10</f>
        <v>17052.487349072417</v>
      </c>
      <c r="D57" s="27">
        <f>'[30]VMT, fuel econ'!$E$10</f>
        <v>18270.494951311262</v>
      </c>
      <c r="E57" s="27">
        <f>'[30]VMT, fuel econ'!$H$10</f>
        <v>80420.568869617535</v>
      </c>
      <c r="F57" s="27">
        <f>'[30]VMT, fuel econ'!$K$10</f>
        <v>45055.3912801228</v>
      </c>
      <c r="G57" s="27">
        <f>'[30]VMT, fuel econ'!$N$10</f>
        <v>0</v>
      </c>
      <c r="H57" s="27">
        <f>'[30]VMT, fuel econ'!$Q$10</f>
        <v>20315.122403303187</v>
      </c>
      <c r="I57" s="27">
        <f>'[30]VMT, fuel econ'!$T$10</f>
        <v>23731.447341706084</v>
      </c>
      <c r="J57" s="27">
        <f>'[30]VMT, fuel econ'!$W$10</f>
        <v>17519.71059571845</v>
      </c>
      <c r="K57" s="115">
        <f>'[30]VMT, fuel econ'!$Z$10</f>
        <v>5828.3562854255388</v>
      </c>
      <c r="L57" s="115">
        <f>'[30]VMT, fuel econ'!$AC$10</f>
        <v>15865.312602643071</v>
      </c>
      <c r="M57" s="7"/>
    </row>
    <row r="58" spans="1:13" x14ac:dyDescent="0.25">
      <c r="A58" s="20"/>
      <c r="B58" s="18">
        <v>2030</v>
      </c>
      <c r="C58" s="27">
        <f>'[30]VMT, fuel econ'!$B$15</f>
        <v>15489.335038455587</v>
      </c>
      <c r="D58" s="27">
        <f>'[30]VMT, fuel econ'!$E$15</f>
        <v>17080.212656753996</v>
      </c>
      <c r="E58" s="27">
        <f>'[30]VMT, fuel econ'!$H$15</f>
        <v>77290.566399664938</v>
      </c>
      <c r="F58" s="27">
        <f>'[30]VMT, fuel econ'!$K$15</f>
        <v>44986.454149997189</v>
      </c>
      <c r="G58" s="27">
        <f>'[30]VMT, fuel econ'!$N$15</f>
        <v>24900.898061202955</v>
      </c>
      <c r="H58" s="27">
        <f>'[30]VMT, fuel econ'!$Q$15</f>
        <v>20715.330825854697</v>
      </c>
      <c r="I58" s="27">
        <f>'[30]VMT, fuel econ'!$T$15</f>
        <v>22967.553149101503</v>
      </c>
      <c r="J58" s="27">
        <f>'[30]VMT, fuel econ'!$W$15</f>
        <v>17255.797008951417</v>
      </c>
      <c r="K58" s="115">
        <f>'[30]VMT, fuel econ'!$Z$15</f>
        <v>5676.4937951495031</v>
      </c>
      <c r="L58" s="115">
        <f>'[30]VMT, fuel econ'!$AC$15</f>
        <v>15273.296818911238</v>
      </c>
      <c r="M58" s="7"/>
    </row>
    <row r="59" spans="1:13" x14ac:dyDescent="0.25">
      <c r="A59" s="20"/>
      <c r="B59" s="18">
        <v>2035</v>
      </c>
      <c r="C59" s="27">
        <f>'[30]VMT, fuel econ'!$B$20</f>
        <v>15050.933546612501</v>
      </c>
      <c r="D59" s="27">
        <f>'[30]VMT, fuel econ'!$E$20</f>
        <v>15929.10216613927</v>
      </c>
      <c r="E59" s="27">
        <f>'[30]VMT, fuel econ'!$H$20</f>
        <v>72388.482378209737</v>
      </c>
      <c r="F59" s="27">
        <f>'[30]VMT, fuel econ'!$K$20</f>
        <v>44727.484631044499</v>
      </c>
      <c r="G59" s="27">
        <f>'[30]VMT, fuel econ'!$N$20</f>
        <v>23281.40148657329</v>
      </c>
      <c r="H59" s="27">
        <f>'[30]VMT, fuel econ'!$Q$20</f>
        <v>20980.542995198182</v>
      </c>
      <c r="I59" s="27">
        <f>'[30]VMT, fuel econ'!$T$20</f>
        <v>22197.59137867458</v>
      </c>
      <c r="J59" s="27">
        <f>'[30]VMT, fuel econ'!$W$20</f>
        <v>16810.46288405891</v>
      </c>
      <c r="K59" s="115">
        <f>'[30]VMT, fuel econ'!$Z$20</f>
        <v>5572.0883623068303</v>
      </c>
      <c r="L59" s="115">
        <f>'[30]VMT, fuel econ'!$AC$20</f>
        <v>13970.337836235572</v>
      </c>
      <c r="M59" s="7"/>
    </row>
    <row r="60" spans="1:13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1:13" ht="32.25" customHeight="1" x14ac:dyDescent="0.25">
      <c r="A62" s="259" t="s">
        <v>70</v>
      </c>
      <c r="B62" s="259"/>
      <c r="C62" s="259"/>
      <c r="D62" s="259"/>
      <c r="E62" s="259"/>
      <c r="F62" s="259"/>
    </row>
    <row r="64" spans="1:13" ht="45" x14ac:dyDescent="0.25">
      <c r="B64" s="18" t="s">
        <v>13</v>
      </c>
      <c r="C64" s="164" t="s">
        <v>0</v>
      </c>
      <c r="D64" s="164" t="s">
        <v>1</v>
      </c>
      <c r="E64" s="164" t="s">
        <v>5</v>
      </c>
      <c r="F64" s="164" t="s">
        <v>4</v>
      </c>
      <c r="G64" s="164" t="s">
        <v>127</v>
      </c>
      <c r="H64" s="164" t="s">
        <v>126</v>
      </c>
      <c r="I64" s="164" t="s">
        <v>119</v>
      </c>
      <c r="J64" s="164" t="s">
        <v>121</v>
      </c>
      <c r="K64" s="164" t="s">
        <v>120</v>
      </c>
      <c r="L64" s="164" t="s">
        <v>2</v>
      </c>
      <c r="M64" s="26" t="s">
        <v>8</v>
      </c>
    </row>
    <row r="65" spans="2:14" x14ac:dyDescent="0.25">
      <c r="B65" s="18">
        <v>2025</v>
      </c>
      <c r="C65" s="27">
        <f>ROUND((Sales!L23),2)</f>
        <v>10.71</v>
      </c>
      <c r="D65" s="27">
        <f>ROUND((Sales!M23),2)</f>
        <v>9.3699999999999992</v>
      </c>
      <c r="E65" s="27">
        <f>ROUND((Sales!N23),2)</f>
        <v>9.09</v>
      </c>
      <c r="F65" s="27">
        <f>ROUND((Sales!O23),2)</f>
        <v>0.9</v>
      </c>
      <c r="G65" s="27">
        <f>ROUND((Sales!P23),2)</f>
        <v>0</v>
      </c>
      <c r="H65" s="27">
        <f>ROUND((Sales!Q23),2)</f>
        <v>2</v>
      </c>
      <c r="I65" s="27">
        <f>ROUND((Sales!R23),2)</f>
        <v>0</v>
      </c>
      <c r="J65" s="27">
        <f>ROUND((Sales!S23),2)</f>
        <v>0</v>
      </c>
      <c r="K65" s="27">
        <f>ROUND((Sales!T23),2)</f>
        <v>0</v>
      </c>
      <c r="L65" s="27">
        <f>ROUND((Sales!U23),2)</f>
        <v>0</v>
      </c>
      <c r="M65" s="27">
        <f>SUM(C65:L65)</f>
        <v>32.069999999999993</v>
      </c>
      <c r="N65" s="7">
        <f>ROUND((M65),0)</f>
        <v>32</v>
      </c>
    </row>
    <row r="66" spans="2:14" x14ac:dyDescent="0.25">
      <c r="B66" s="18">
        <v>2030</v>
      </c>
      <c r="C66" s="27">
        <f>ROUND((Sales!L28),2)</f>
        <v>98.7</v>
      </c>
      <c r="D66" s="27">
        <f>ROUND((Sales!M28),2)</f>
        <v>112.39</v>
      </c>
      <c r="E66" s="27">
        <f>ROUND((Sales!N28),2)</f>
        <v>105.61</v>
      </c>
      <c r="F66" s="27">
        <f>ROUND((Sales!O28),2)</f>
        <v>7.4</v>
      </c>
      <c r="G66" s="27">
        <f>ROUND((Sales!P28),2)</f>
        <v>10.199999999999999</v>
      </c>
      <c r="H66" s="27">
        <f>ROUND((Sales!Q28),2)</f>
        <v>6.88</v>
      </c>
      <c r="I66" s="27">
        <f>ROUND((Sales!R28),2)</f>
        <v>0.88</v>
      </c>
      <c r="J66" s="27">
        <f>ROUND((Sales!S28),2)</f>
        <v>3.74</v>
      </c>
      <c r="K66" s="27">
        <f>ROUND((Sales!T28),2)</f>
        <v>0.2</v>
      </c>
      <c r="L66" s="27">
        <f>ROUND((Sales!U28),2)</f>
        <v>11.49</v>
      </c>
      <c r="M66" s="27">
        <f>SUM(C66:L66)</f>
        <v>357.48999999999995</v>
      </c>
      <c r="N66" s="7">
        <f t="shared" ref="N66:N70" si="4">ROUND((M66),0)</f>
        <v>357</v>
      </c>
    </row>
    <row r="67" spans="2:14" x14ac:dyDescent="0.25">
      <c r="B67" s="18">
        <v>2035</v>
      </c>
      <c r="C67" s="27">
        <f>ROUND((Sales!L33),2)</f>
        <v>281.66000000000003</v>
      </c>
      <c r="D67" s="27">
        <f>ROUND((Sales!M33),2)</f>
        <v>334.36</v>
      </c>
      <c r="E67" s="27">
        <f>ROUND((Sales!N33),2)</f>
        <v>318.76</v>
      </c>
      <c r="F67" s="27">
        <f>ROUND((Sales!O33),2)</f>
        <v>19.68</v>
      </c>
      <c r="G67" s="27">
        <f>ROUND((Sales!P33),2)</f>
        <v>44.89</v>
      </c>
      <c r="H67" s="27">
        <f>ROUND((Sales!Q33),2)</f>
        <v>14.31</v>
      </c>
      <c r="I67" s="27">
        <f>ROUND((Sales!R33),2)</f>
        <v>4.08</v>
      </c>
      <c r="J67" s="27">
        <f>ROUND((Sales!S33),2)</f>
        <v>16.25</v>
      </c>
      <c r="K67" s="27">
        <f>ROUND((Sales!T33),2)</f>
        <v>1.08</v>
      </c>
      <c r="L67" s="27">
        <f>ROUND((Sales!U33),2)</f>
        <v>43.3</v>
      </c>
      <c r="M67" s="27">
        <f>SUM(C67:L67)</f>
        <v>1078.3699999999997</v>
      </c>
      <c r="N67" s="7">
        <f t="shared" si="4"/>
        <v>1078</v>
      </c>
    </row>
    <row r="68" spans="2:14" x14ac:dyDescent="0.25">
      <c r="B68" s="18">
        <v>2040</v>
      </c>
      <c r="C68" s="27">
        <f>ROUND((Sales!L38),2)</f>
        <v>605.46</v>
      </c>
      <c r="D68" s="27">
        <f>ROUND((Sales!M38),2)</f>
        <v>739.64</v>
      </c>
      <c r="E68" s="27">
        <f>ROUND((Sales!N38),2)</f>
        <v>567.83000000000004</v>
      </c>
      <c r="F68" s="27">
        <f>ROUND((Sales!O38),2)</f>
        <v>34.590000000000003</v>
      </c>
      <c r="G68" s="27">
        <f>ROUND((Sales!P38),2)</f>
        <v>102.63</v>
      </c>
      <c r="H68" s="27">
        <f>ROUND((Sales!Q38),2)</f>
        <v>24.27</v>
      </c>
      <c r="I68" s="27">
        <f>ROUND((Sales!R38),2)</f>
        <v>9.25</v>
      </c>
      <c r="J68" s="27">
        <f>ROUND((Sales!S38),2)</f>
        <v>37</v>
      </c>
      <c r="K68" s="27">
        <f>ROUND((Sales!T38),2)</f>
        <v>2.33</v>
      </c>
      <c r="L68" s="27">
        <f>ROUND((Sales!U38),2)</f>
        <v>80.37</v>
      </c>
      <c r="M68" s="27">
        <f>SUM(C68:L68)</f>
        <v>2203.3699999999994</v>
      </c>
      <c r="N68" s="7">
        <f t="shared" si="4"/>
        <v>2203</v>
      </c>
    </row>
    <row r="69" spans="2:14" x14ac:dyDescent="0.25">
      <c r="B69" s="18">
        <v>2045</v>
      </c>
      <c r="C69" s="27">
        <f>ROUND((Sales!L43),2)</f>
        <v>908.12</v>
      </c>
      <c r="D69" s="27">
        <f>ROUND((Sales!M43),2)</f>
        <v>1147.97</v>
      </c>
      <c r="E69" s="27">
        <f>ROUND((Sales!N43),2)</f>
        <v>749.71</v>
      </c>
      <c r="F69" s="27">
        <f>ROUND((Sales!O43),2)</f>
        <v>50.32</v>
      </c>
      <c r="G69" s="27">
        <f>ROUND((Sales!P43),2)</f>
        <v>152.75</v>
      </c>
      <c r="H69" s="27">
        <f>ROUND((Sales!Q43),2)</f>
        <v>33.4</v>
      </c>
      <c r="I69" s="27">
        <f>ROUND((Sales!R43),2)</f>
        <v>13.69</v>
      </c>
      <c r="J69" s="27">
        <f>ROUND((Sales!S43),2)</f>
        <v>55.88</v>
      </c>
      <c r="K69" s="27">
        <f>ROUND((Sales!T43),2)</f>
        <v>3.31</v>
      </c>
      <c r="L69" s="27">
        <f>ROUND((Sales!U43),2)</f>
        <v>105.91</v>
      </c>
      <c r="M69" s="27">
        <f t="shared" ref="M69:M70" si="5">SUM(C69:L69)</f>
        <v>3221.0600000000004</v>
      </c>
      <c r="N69" s="7">
        <f t="shared" si="4"/>
        <v>3221</v>
      </c>
    </row>
    <row r="70" spans="2:14" x14ac:dyDescent="0.25">
      <c r="B70" s="18">
        <v>2050</v>
      </c>
      <c r="C70" s="27">
        <f>ROUND((Sales!L48),2)</f>
        <v>1111.47</v>
      </c>
      <c r="D70" s="27">
        <f>ROUND((Sales!M48),2)</f>
        <v>1462.1</v>
      </c>
      <c r="E70" s="27">
        <f>ROUND((Sales!N48),2)</f>
        <v>838.41</v>
      </c>
      <c r="F70" s="27">
        <f>ROUND((Sales!O48),2)</f>
        <v>62.59</v>
      </c>
      <c r="G70" s="27">
        <f>ROUND((Sales!P48),2)</f>
        <v>182.47</v>
      </c>
      <c r="H70" s="27">
        <f>ROUND((Sales!Q48),2)</f>
        <v>38.64</v>
      </c>
      <c r="I70" s="27">
        <f>ROUND((Sales!R48),2)</f>
        <v>16.18</v>
      </c>
      <c r="J70" s="27">
        <f>ROUND((Sales!S48),2)</f>
        <v>67.42</v>
      </c>
      <c r="K70" s="27">
        <f>ROUND((Sales!T48),2)</f>
        <v>3.89</v>
      </c>
      <c r="L70" s="27">
        <f>ROUND((Sales!U48),2)</f>
        <v>119.29</v>
      </c>
      <c r="M70" s="27">
        <f t="shared" si="5"/>
        <v>3902.4599999999991</v>
      </c>
      <c r="N70" s="7">
        <f t="shared" si="4"/>
        <v>3902</v>
      </c>
    </row>
    <row r="71" spans="2:14" x14ac:dyDescent="0.25">
      <c r="B71" s="20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7"/>
    </row>
    <row r="72" spans="2:14" x14ac:dyDescent="0.25">
      <c r="B72" s="20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7"/>
    </row>
    <row r="73" spans="2:14" x14ac:dyDescent="0.25">
      <c r="B73" s="20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7"/>
    </row>
    <row r="75" spans="2:14" x14ac:dyDescent="0.25">
      <c r="C75">
        <f>C65/$M$65</f>
        <v>0.33395696913002815</v>
      </c>
      <c r="D75">
        <f>D65/$M$65</f>
        <v>0.2921733707514812</v>
      </c>
      <c r="E75">
        <f>E65/$M$65</f>
        <v>0.28344246959775499</v>
      </c>
      <c r="F75">
        <f t="shared" ref="F75:L75" si="6">F65/$M$65</f>
        <v>2.8063610851262868E-2</v>
      </c>
      <c r="G75">
        <f t="shared" si="6"/>
        <v>0</v>
      </c>
      <c r="H75">
        <f t="shared" si="6"/>
        <v>6.2363579669473042E-2</v>
      </c>
      <c r="I75">
        <f t="shared" si="6"/>
        <v>0</v>
      </c>
      <c r="J75">
        <f t="shared" si="6"/>
        <v>0</v>
      </c>
      <c r="K75">
        <f t="shared" si="6"/>
        <v>0</v>
      </c>
      <c r="L75">
        <f t="shared" si="6"/>
        <v>0</v>
      </c>
    </row>
    <row r="76" spans="2:14" x14ac:dyDescent="0.25">
      <c r="C76">
        <f>C66/$M$66</f>
        <v>0.27609163892696303</v>
      </c>
      <c r="D76">
        <f>D66/$M$66</f>
        <v>0.3143864164032561</v>
      </c>
      <c r="E76">
        <f>E66/$M$66</f>
        <v>0.29542085093289328</v>
      </c>
      <c r="F76">
        <f t="shared" ref="F76:L76" si="7">F66/$M$66</f>
        <v>2.0699879716915164E-2</v>
      </c>
      <c r="G76">
        <f t="shared" si="7"/>
        <v>2.8532266636829003E-2</v>
      </c>
      <c r="H76">
        <f t="shared" si="7"/>
        <v>1.9245293574645446E-2</v>
      </c>
      <c r="I76">
        <f t="shared" si="7"/>
        <v>2.4616073176872083E-3</v>
      </c>
      <c r="J76">
        <f t="shared" si="7"/>
        <v>1.0461831100170637E-2</v>
      </c>
      <c r="K76">
        <f t="shared" si="7"/>
        <v>5.594562085652747E-4</v>
      </c>
      <c r="L76">
        <f t="shared" si="7"/>
        <v>3.2140759182075027E-2</v>
      </c>
    </row>
    <row r="77" spans="2:14" x14ac:dyDescent="0.25">
      <c r="E77">
        <f>E67/M67</f>
        <v>0.29559427654701087</v>
      </c>
    </row>
    <row r="78" spans="2:14" x14ac:dyDescent="0.25">
      <c r="B78" t="s">
        <v>168</v>
      </c>
    </row>
    <row r="79" spans="2:14" x14ac:dyDescent="0.25">
      <c r="B79" t="s">
        <v>169</v>
      </c>
      <c r="C79" t="s">
        <v>170</v>
      </c>
      <c r="G79">
        <f>3671*5/1005</f>
        <v>18.263681592039802</v>
      </c>
    </row>
    <row r="82" spans="1:35" ht="18.75" x14ac:dyDescent="0.3">
      <c r="A82" s="257" t="s">
        <v>71</v>
      </c>
      <c r="B82" s="257"/>
      <c r="C82" s="257"/>
      <c r="D82" s="257"/>
      <c r="E82" s="257"/>
      <c r="F82" s="257"/>
    </row>
    <row r="83" spans="1:35" x14ac:dyDescent="0.25">
      <c r="D83" s="212" t="s">
        <v>196</v>
      </c>
      <c r="E83" s="212"/>
      <c r="O83" s="187" t="s">
        <v>195</v>
      </c>
      <c r="P83" s="187"/>
      <c r="Q83" s="187"/>
      <c r="R83" s="187"/>
    </row>
    <row r="84" spans="1:35" ht="36" customHeight="1" x14ac:dyDescent="0.25">
      <c r="A84" s="18"/>
      <c r="B84" s="256" t="s">
        <v>171</v>
      </c>
      <c r="C84" s="256"/>
      <c r="D84" s="256" t="s">
        <v>172</v>
      </c>
      <c r="E84" s="256"/>
      <c r="F84" s="200" t="s">
        <v>128</v>
      </c>
      <c r="G84" s="200"/>
      <c r="N84" s="256" t="s">
        <v>171</v>
      </c>
      <c r="O84" s="256"/>
      <c r="P84" s="256" t="s">
        <v>172</v>
      </c>
      <c r="Q84" s="256"/>
      <c r="R84" s="200" t="s">
        <v>128</v>
      </c>
      <c r="S84" s="200"/>
    </row>
    <row r="85" spans="1:35" ht="30" customHeight="1" x14ac:dyDescent="0.25">
      <c r="A85" s="18"/>
      <c r="B85" s="26" t="s">
        <v>73</v>
      </c>
      <c r="C85" s="26" t="s">
        <v>74</v>
      </c>
      <c r="D85" s="158" t="s">
        <v>164</v>
      </c>
      <c r="E85" s="26" t="s">
        <v>74</v>
      </c>
      <c r="F85" s="18" t="s">
        <v>37</v>
      </c>
      <c r="G85" s="26" t="s">
        <v>109</v>
      </c>
      <c r="N85" s="26" t="s">
        <v>73</v>
      </c>
      <c r="O85" s="26" t="s">
        <v>74</v>
      </c>
      <c r="P85" s="179" t="s">
        <v>164</v>
      </c>
      <c r="Q85" s="26" t="s">
        <v>74</v>
      </c>
      <c r="R85" s="18" t="s">
        <v>37</v>
      </c>
      <c r="S85" s="26" t="s">
        <v>109</v>
      </c>
    </row>
    <row r="86" spans="1:35" ht="30" x14ac:dyDescent="0.25">
      <c r="A86" s="26" t="s">
        <v>153</v>
      </c>
      <c r="B86" s="18">
        <f>'production plant capacity'!G4+'production plant capacity'!G3</f>
        <v>24</v>
      </c>
      <c r="C86" s="18">
        <f>'production plant capacity'!H4+'production plant capacity'!H3</f>
        <v>6</v>
      </c>
      <c r="D86" s="18">
        <f>'production plant capacity'!M4+'production plant capacity'!M3</f>
        <v>13</v>
      </c>
      <c r="E86" s="18">
        <f>'production plant capacity'!N4+'production plant capacity'!N3</f>
        <v>4</v>
      </c>
      <c r="F86" s="30">
        <f>(B86*D96)+(C86*E96)</f>
        <v>1392.7797787801082</v>
      </c>
      <c r="G86" s="30">
        <f>(D86*F96)+(E86*G96)</f>
        <v>149.44995363800174</v>
      </c>
      <c r="H86" s="14">
        <f>SUM(F86:G86)</f>
        <v>1542.22973241811</v>
      </c>
      <c r="N86" s="18">
        <f>'production plant capacity'!R4+'production plant capacity'!R3</f>
        <v>20</v>
      </c>
      <c r="O86" s="18">
        <f>'production plant capacity'!S4+'production plant capacity'!S3</f>
        <v>10</v>
      </c>
      <c r="P86" s="18">
        <f>'production plant capacity'!U4+'production plant capacity'!U3</f>
        <v>12</v>
      </c>
      <c r="Q86" s="18">
        <f>'production plant capacity'!V4+'production plant capacity'!V3</f>
        <v>6</v>
      </c>
      <c r="R86" s="30">
        <f>(N86*D96)+(O86*E96)</f>
        <v>1576.5508985409951</v>
      </c>
      <c r="S86" s="30">
        <f>(P86*F96)+(Q86*G96)</f>
        <v>172.47061078485004</v>
      </c>
      <c r="T86" s="14">
        <f>SUM(R86:S86)</f>
        <v>1749.0215093258453</v>
      </c>
      <c r="AE86" s="260" t="s">
        <v>129</v>
      </c>
      <c r="AF86" s="260"/>
      <c r="AG86" s="260"/>
      <c r="AH86" s="260"/>
      <c r="AI86" s="260"/>
    </row>
    <row r="87" spans="1:35" ht="30" x14ac:dyDescent="0.25">
      <c r="A87" s="26" t="s">
        <v>154</v>
      </c>
      <c r="B87" s="18">
        <f>'production plant capacity'!G6+'production plant capacity'!G5</f>
        <v>83</v>
      </c>
      <c r="C87" s="18">
        <f>'production plant capacity'!H6+'production plant capacity'!H5</f>
        <v>103</v>
      </c>
      <c r="D87" s="18">
        <f>'production plant capacity'!M6+'production plant capacity'!M5</f>
        <v>42</v>
      </c>
      <c r="E87" s="18">
        <f>'production plant capacity'!N6+'production plant capacity'!N5</f>
        <v>50</v>
      </c>
      <c r="F87" s="30">
        <f>((B87)*D98)+((C87)*E98)</f>
        <v>9106.5958761532183</v>
      </c>
      <c r="G87" s="30">
        <f>((D87)*F98)+((E87)*G98)</f>
        <v>861.04836143425678</v>
      </c>
      <c r="H87" s="14">
        <f>SUM(F87:G87)</f>
        <v>9967.6442375874758</v>
      </c>
      <c r="N87" s="18">
        <f>'production plant capacity'!R6+'production plant capacity'!R5</f>
        <v>20</v>
      </c>
      <c r="O87" s="18">
        <f>'production plant capacity'!S6+'production plant capacity'!S5</f>
        <v>166</v>
      </c>
      <c r="P87" s="18">
        <f>'production plant capacity'!U6+'production plant capacity'!U5</f>
        <v>11</v>
      </c>
      <c r="Q87" s="18">
        <f>'production plant capacity'!V6+'production plant capacity'!V5</f>
        <v>81</v>
      </c>
      <c r="R87" s="30">
        <f>((N87)*D98)+((O87)*E98)</f>
        <v>11303.685029751679</v>
      </c>
      <c r="S87" s="30">
        <f>((P87)*F98)+((Q87)*G98)</f>
        <v>1041.4242285376447</v>
      </c>
      <c r="T87" s="14">
        <f t="shared" ref="T87:T88" si="8">SUM(R87:S87)</f>
        <v>12345.109258289323</v>
      </c>
    </row>
    <row r="88" spans="1:35" ht="45" x14ac:dyDescent="0.25">
      <c r="A88" s="26" t="s">
        <v>165</v>
      </c>
      <c r="B88" s="18">
        <f>'production plant capacity'!G8+'production plant capacity'!G7</f>
        <v>29</v>
      </c>
      <c r="C88" s="18">
        <f>'production plant capacity'!H8+'production plant capacity'!H7</f>
        <v>304</v>
      </c>
      <c r="D88" s="18">
        <f>'production plant capacity'!M8+'production plant capacity'!M7</f>
        <v>13</v>
      </c>
      <c r="E88" s="18">
        <f>'production plant capacity'!N8+'production plant capacity'!N7</f>
        <v>127</v>
      </c>
      <c r="F88" s="30">
        <f>((B88)*D94)+((C88)*E94)</f>
        <v>6125.5042304943372</v>
      </c>
      <c r="G88" s="30">
        <f>((D88)*F94)+((E88)*G94)</f>
        <v>664.55084934636841</v>
      </c>
      <c r="H88" s="14">
        <f>SUM(F88:G88)</f>
        <v>6790.0550798407057</v>
      </c>
      <c r="N88" s="18">
        <f>'production plant capacity'!R8+'production plant capacity'!R7</f>
        <v>0</v>
      </c>
      <c r="O88" s="18">
        <f>'production plant capacity'!S8+'production plant capacity'!S7</f>
        <v>333</v>
      </c>
      <c r="P88" s="18">
        <f>'production plant capacity'!U8+'production plant capacity'!U7</f>
        <v>0</v>
      </c>
      <c r="Q88" s="18">
        <f>'production plant capacity'!V8+'production plant capacity'!V7</f>
        <v>140</v>
      </c>
      <c r="R88" s="30">
        <f>((N88)*D94)+((O88)*E94)</f>
        <v>5953.3723277342733</v>
      </c>
      <c r="S88" s="30">
        <f>((P88)*F94)+((Q88)*G94)</f>
        <v>652.55955355280321</v>
      </c>
      <c r="T88" s="14">
        <f t="shared" si="8"/>
        <v>6605.931881287077</v>
      </c>
      <c r="AD88" s="26"/>
      <c r="AE88" s="26" t="s">
        <v>153</v>
      </c>
      <c r="AF88" s="26" t="s">
        <v>154</v>
      </c>
      <c r="AG88" s="26" t="s">
        <v>165</v>
      </c>
      <c r="AH88" s="118" t="s">
        <v>167</v>
      </c>
    </row>
    <row r="89" spans="1:35" ht="45" x14ac:dyDescent="0.25">
      <c r="A89" s="165" t="s">
        <v>166</v>
      </c>
      <c r="B89" s="166">
        <f>SUM(B86:B88)</f>
        <v>136</v>
      </c>
      <c r="C89" s="166">
        <f>SUM(C86:C88)</f>
        <v>413</v>
      </c>
      <c r="D89" s="166">
        <f>SUM(D86:D88)</f>
        <v>68</v>
      </c>
      <c r="E89" s="166">
        <f>SUM(E86:E88)</f>
        <v>181</v>
      </c>
      <c r="F89" s="116"/>
      <c r="T89" s="188"/>
      <c r="AD89" s="26" t="s">
        <v>137</v>
      </c>
      <c r="AE89" s="119">
        <f>H86</f>
        <v>1542.22973241811</v>
      </c>
      <c r="AF89" s="119">
        <f>H87</f>
        <v>9967.6442375874758</v>
      </c>
      <c r="AG89" s="119">
        <f>H88</f>
        <v>6790.0550798407057</v>
      </c>
      <c r="AH89" s="119">
        <f>SUM(AE89:AG89)</f>
        <v>18299.929049846291</v>
      </c>
    </row>
    <row r="90" spans="1:35" ht="45" x14ac:dyDescent="0.25">
      <c r="B90">
        <f>B89+C89</f>
        <v>549</v>
      </c>
      <c r="D90">
        <f>D89+E89</f>
        <v>249</v>
      </c>
      <c r="L90" s="30"/>
      <c r="M90" s="30"/>
      <c r="AD90" s="26" t="s">
        <v>138</v>
      </c>
      <c r="AE90" s="119">
        <f>H103</f>
        <v>3643.4640296654602</v>
      </c>
      <c r="AF90" s="119">
        <f>H104</f>
        <v>12528.790822194271</v>
      </c>
      <c r="AG90" s="119">
        <f>H105</f>
        <v>20033.657210437865</v>
      </c>
      <c r="AH90" s="119">
        <f>SUM(AE90:AG90)</f>
        <v>36205.912062297597</v>
      </c>
    </row>
    <row r="91" spans="1:35" x14ac:dyDescent="0.25">
      <c r="C91" s="18"/>
      <c r="D91" s="256" t="s">
        <v>76</v>
      </c>
      <c r="E91" s="256"/>
      <c r="F91" s="256" t="s">
        <v>72</v>
      </c>
      <c r="G91" s="256"/>
      <c r="L91" s="30"/>
      <c r="M91" s="30"/>
    </row>
    <row r="92" spans="1:35" x14ac:dyDescent="0.25">
      <c r="C92" s="18"/>
      <c r="D92" s="26" t="s">
        <v>73</v>
      </c>
      <c r="E92" s="26" t="s">
        <v>74</v>
      </c>
      <c r="F92" s="26" t="s">
        <v>73</v>
      </c>
      <c r="G92" s="26" t="s">
        <v>74</v>
      </c>
      <c r="L92" s="30"/>
      <c r="M92" s="30"/>
    </row>
    <row r="93" spans="1:35" ht="75" x14ac:dyDescent="0.25">
      <c r="C93" s="26" t="s">
        <v>116</v>
      </c>
      <c r="D93" s="18" cm="1">
        <f t="array" ref="D93">[31]!total_cap</f>
        <v>23813577.831976317</v>
      </c>
      <c r="E93" s="18" cm="1">
        <f t="array" ref="E93">[32]!total_cap</f>
        <v>17877994.978181001</v>
      </c>
      <c r="F93" s="18" cm="1">
        <f t="array" ref="F93">[27]!total_cap</f>
        <v>5583547.0369701032</v>
      </c>
      <c r="G93" s="18" cm="1">
        <f t="array" ref="G93">[28]!total_cap</f>
        <v>4661139.6682343083</v>
      </c>
    </row>
    <row r="94" spans="1:35" x14ac:dyDescent="0.25">
      <c r="C94" s="18"/>
      <c r="D94" s="117">
        <f>D93/10^6</f>
        <v>23.813577831976318</v>
      </c>
      <c r="E94" s="117">
        <f>E93/10^6</f>
        <v>17.877994978181</v>
      </c>
      <c r="F94" s="117">
        <f>F93/10^6</f>
        <v>5.5835470369701028</v>
      </c>
      <c r="G94" s="117">
        <f>G93/10^6</f>
        <v>4.6611396682343083</v>
      </c>
    </row>
    <row r="95" spans="1:35" x14ac:dyDescent="0.25">
      <c r="C95" s="15" t="s">
        <v>26</v>
      </c>
      <c r="D95" s="18" cm="1">
        <f t="array" ref="D95">[33]!total_cap</f>
        <v>37237436.637959257</v>
      </c>
      <c r="E95" s="18" cm="1">
        <f t="array" ref="E95">[34]!total_cap</f>
        <v>83180216.578181013</v>
      </c>
      <c r="F95" s="18" cm="1">
        <f t="array" ref="F95">[17]!total_cap</f>
        <v>6893909.2896203473</v>
      </c>
      <c r="G95" s="18" cm="1">
        <f t="array" ref="G95">[18]!total_cap</f>
        <v>14957283.218234312</v>
      </c>
    </row>
    <row r="96" spans="1:35" x14ac:dyDescent="0.25">
      <c r="C96" s="18"/>
      <c r="D96" s="117">
        <f>D95/10^6</f>
        <v>37.237436637959256</v>
      </c>
      <c r="E96" s="117">
        <f>E95/10^6</f>
        <v>83.180216578181017</v>
      </c>
      <c r="F96" s="117">
        <f>F95/10^6</f>
        <v>6.8939092896203471</v>
      </c>
      <c r="G96" s="117">
        <f>G95/10^6</f>
        <v>14.957283218234311</v>
      </c>
    </row>
    <row r="97" spans="1:8" x14ac:dyDescent="0.25">
      <c r="C97" s="15" t="s">
        <v>27</v>
      </c>
      <c r="D97" s="18" cm="1">
        <f t="array" ref="D97">[35]!total_cap</f>
        <v>29648007.968681641</v>
      </c>
      <c r="E97" s="18" cm="1">
        <f t="array" ref="E97">[36]!total_cap</f>
        <v>64522438.978181005</v>
      </c>
      <c r="F97" s="18" cm="1">
        <f t="array" ref="F97">[22]!total_cap</f>
        <v>6196951.5600605039</v>
      </c>
      <c r="G97" s="18" cm="1">
        <f t="array" ref="G97">[23]!total_cap</f>
        <v>12015527.918234311</v>
      </c>
    </row>
    <row r="98" spans="1:8" x14ac:dyDescent="0.25">
      <c r="C98" s="18"/>
      <c r="D98" s="117">
        <f>D97/10^6</f>
        <v>29.64800796868164</v>
      </c>
      <c r="E98" s="117">
        <f t="shared" ref="E98:G98" si="9">E97/10^6</f>
        <v>64.522438978181</v>
      </c>
      <c r="F98" s="117">
        <f t="shared" si="9"/>
        <v>6.1969515600605041</v>
      </c>
      <c r="G98" s="117">
        <f t="shared" si="9"/>
        <v>12.01552791823431</v>
      </c>
    </row>
    <row r="99" spans="1:8" ht="18.75" x14ac:dyDescent="0.3">
      <c r="A99" s="257" t="s">
        <v>75</v>
      </c>
      <c r="B99" s="257"/>
      <c r="C99" s="257"/>
      <c r="D99" s="257"/>
      <c r="E99" s="257"/>
      <c r="F99" s="257"/>
    </row>
    <row r="101" spans="1:8" ht="45" x14ac:dyDescent="0.25">
      <c r="A101" s="18"/>
      <c r="B101" s="16" t="s">
        <v>173</v>
      </c>
      <c r="C101" s="16" t="s">
        <v>174</v>
      </c>
      <c r="D101" s="261" t="s">
        <v>128</v>
      </c>
      <c r="E101" s="262"/>
      <c r="F101" s="262"/>
      <c r="G101" s="262"/>
    </row>
    <row r="102" spans="1:8" x14ac:dyDescent="0.25">
      <c r="A102" s="18"/>
      <c r="B102" s="18"/>
      <c r="C102" s="18"/>
      <c r="D102" s="208" t="s">
        <v>135</v>
      </c>
      <c r="E102" s="210"/>
      <c r="F102" s="208" t="s">
        <v>136</v>
      </c>
      <c r="G102" s="210"/>
    </row>
    <row r="103" spans="1:8" ht="30" x14ac:dyDescent="0.25">
      <c r="A103" s="26" t="s">
        <v>153</v>
      </c>
      <c r="B103" s="18">
        <f>'refuelling stations'!C2+'refuelling stations'!C3</f>
        <v>567</v>
      </c>
      <c r="C103" s="18">
        <f>'refuelling stations'!D2+'refuelling stations'!D3</f>
        <v>91</v>
      </c>
      <c r="D103" s="244">
        <f>(B103*AVERAGE(D115:F115))</f>
        <v>2735.4466414056601</v>
      </c>
      <c r="E103" s="245"/>
      <c r="F103" s="264">
        <f>(C103*AVERAGE(G115:I115))</f>
        <v>908.01738825979999</v>
      </c>
      <c r="G103" s="265"/>
      <c r="H103" s="78">
        <f>SUM(D103:G103)</f>
        <v>3643.4640296654602</v>
      </c>
    </row>
    <row r="104" spans="1:8" ht="30" x14ac:dyDescent="0.25">
      <c r="A104" s="26" t="s">
        <v>154</v>
      </c>
      <c r="B104" s="18">
        <f>'refuelling stations'!C4+'refuelling stations'!C5</f>
        <v>3727</v>
      </c>
      <c r="C104" s="18">
        <f>'refuelling stations'!D4+'refuelling stations'!D5</f>
        <v>492</v>
      </c>
      <c r="D104" s="244">
        <f>((B104)*AVERAGE(D116:F116))</f>
        <v>9926.2649608037518</v>
      </c>
      <c r="E104" s="245"/>
      <c r="F104" s="264">
        <f>((C104)*AVERAGE(G116:I116))</f>
        <v>2602.5258613905198</v>
      </c>
      <c r="G104" s="265"/>
      <c r="H104" s="78">
        <f>SUM(D104:G104)</f>
        <v>12528.790822194271</v>
      </c>
    </row>
    <row r="105" spans="1:8" ht="30" x14ac:dyDescent="0.25">
      <c r="A105" s="26" t="s">
        <v>165</v>
      </c>
      <c r="B105" s="18">
        <f>'refuelling stations'!C6+'refuelling stations'!C7</f>
        <v>7012</v>
      </c>
      <c r="C105" s="18">
        <f>'refuelling stations'!D7+'refuelling stations'!D6</f>
        <v>748</v>
      </c>
      <c r="D105" s="244">
        <f>((B105)*AVERAGE(D117:F117))</f>
        <v>16558.921399641138</v>
      </c>
      <c r="E105" s="245"/>
      <c r="F105" s="264">
        <f>((C105)*AVERAGE(G117:I117))</f>
        <v>3474.7358107967261</v>
      </c>
      <c r="G105" s="265"/>
      <c r="H105" s="78">
        <f>SUM(D105:G105)</f>
        <v>20033.657210437865</v>
      </c>
    </row>
    <row r="106" spans="1:8" x14ac:dyDescent="0.25">
      <c r="A106" s="167" t="s">
        <v>166</v>
      </c>
      <c r="B106">
        <f>SUM(B103:B105)</f>
        <v>11306</v>
      </c>
      <c r="C106">
        <f>SUM(C103:C105)</f>
        <v>1331</v>
      </c>
      <c r="D106" s="54"/>
      <c r="E106" s="54"/>
      <c r="F106" s="54"/>
      <c r="G106" s="54"/>
    </row>
    <row r="107" spans="1:8" x14ac:dyDescent="0.25">
      <c r="D107" s="78"/>
    </row>
    <row r="113" spans="3:9" x14ac:dyDescent="0.25">
      <c r="D113" s="263" t="s">
        <v>130</v>
      </c>
      <c r="E113" s="263"/>
      <c r="F113" s="263"/>
      <c r="G113" s="200" t="s">
        <v>131</v>
      </c>
      <c r="H113" s="200"/>
      <c r="I113" s="200"/>
    </row>
    <row r="114" spans="3:9" x14ac:dyDescent="0.25">
      <c r="D114" s="117" t="s">
        <v>132</v>
      </c>
      <c r="E114" s="117" t="s">
        <v>133</v>
      </c>
      <c r="F114" s="117" t="s">
        <v>134</v>
      </c>
      <c r="G114" s="18" t="s">
        <v>132</v>
      </c>
      <c r="H114" s="18" t="s">
        <v>133</v>
      </c>
      <c r="I114" s="18" t="s">
        <v>134</v>
      </c>
    </row>
    <row r="115" spans="3:9" ht="30" x14ac:dyDescent="0.25">
      <c r="C115" s="26" t="s">
        <v>153</v>
      </c>
      <c r="D115" s="88">
        <f>[37]Sheet1!$C$12/10^6*0.65</f>
        <v>5.3099480063500009</v>
      </c>
      <c r="E115" s="88">
        <f>[38]Sheet1!$C$12/10^6*0.65</f>
        <v>4.0761901463400001</v>
      </c>
      <c r="F115" s="88">
        <f>[39]Sheet1!$C$12/10^6*0.65</f>
        <v>5.0871245002499998</v>
      </c>
      <c r="G115" s="30">
        <f>[16]Sheet1!$C$12/10^6*0.65</f>
        <v>9.2751986583099999</v>
      </c>
      <c r="H115" s="30">
        <f>[40]Sheet1!$C$12/10^6*0.65</f>
        <v>10.049010210004999</v>
      </c>
      <c r="I115" s="30">
        <f>[41]Sheet1!$C$12/10^6*0.65</f>
        <v>10.610430305085</v>
      </c>
    </row>
    <row r="116" spans="3:9" ht="30" x14ac:dyDescent="0.25">
      <c r="C116" s="26" t="s">
        <v>154</v>
      </c>
      <c r="D116" s="88">
        <f>[42]Sheet1!$C$12/10^6*0.65</f>
        <v>2.9644982636750004</v>
      </c>
      <c r="E116" s="88">
        <f>[43]Sheet1!$C$12/10^6*0.65</f>
        <v>2.180368943025</v>
      </c>
      <c r="F116" s="88">
        <f>[44]Sheet1!$C$12/10^6*0.65</f>
        <v>2.8451502020499997</v>
      </c>
      <c r="G116" s="30">
        <f>[21]Sheet1!$C$12/10^6*0.65</f>
        <v>4.8212878587249994</v>
      </c>
      <c r="H116" s="30">
        <f>[45]Sheet1!$C$12/10^6*0.65</f>
        <v>5.27779398835</v>
      </c>
      <c r="I116" s="30">
        <f>[46]Sheet1!$C$12/10^6*0.65</f>
        <v>5.7699782833550008</v>
      </c>
    </row>
    <row r="117" spans="3:9" ht="30" x14ac:dyDescent="0.25">
      <c r="C117" s="26" t="s">
        <v>155</v>
      </c>
      <c r="D117" s="88">
        <f>[47]Sheet1!$C$12/10^6*0.65</f>
        <v>2.6367003204100006</v>
      </c>
      <c r="E117" s="88">
        <f>[48]Sheet1!$C$12/10^6*0.65</f>
        <v>1.9177782882699999</v>
      </c>
      <c r="F117" s="88">
        <f>[49]Sheet1!$C$12/10^6*0.65</f>
        <v>2.530057072855</v>
      </c>
      <c r="G117" s="30">
        <f>[26]Sheet1!$C$12/10^6*0.65</f>
        <v>4.2178980010049996</v>
      </c>
      <c r="H117" s="30">
        <f>[50]Sheet1!$C$12/10^6*0.65</f>
        <v>4.6216379227199997</v>
      </c>
      <c r="I117" s="30">
        <f>[51]Sheet1!$C$12/10^6*0.65</f>
        <v>5.0965702693099999</v>
      </c>
    </row>
  </sheetData>
  <mergeCells count="28">
    <mergeCell ref="AE86:AI86"/>
    <mergeCell ref="D101:G101"/>
    <mergeCell ref="D113:F113"/>
    <mergeCell ref="G113:I113"/>
    <mergeCell ref="D102:E102"/>
    <mergeCell ref="F102:G102"/>
    <mergeCell ref="D103:E103"/>
    <mergeCell ref="D104:E104"/>
    <mergeCell ref="D105:E105"/>
    <mergeCell ref="F103:G103"/>
    <mergeCell ref="F104:G104"/>
    <mergeCell ref="F105:G105"/>
    <mergeCell ref="A99:F99"/>
    <mergeCell ref="D91:E91"/>
    <mergeCell ref="F91:G91"/>
    <mergeCell ref="A1:C1"/>
    <mergeCell ref="A21:C21"/>
    <mergeCell ref="A43:F43"/>
    <mergeCell ref="A53:F53"/>
    <mergeCell ref="A62:F62"/>
    <mergeCell ref="D83:E83"/>
    <mergeCell ref="N84:O84"/>
    <mergeCell ref="P84:Q84"/>
    <mergeCell ref="R84:S84"/>
    <mergeCell ref="A82:F82"/>
    <mergeCell ref="B84:C84"/>
    <mergeCell ref="D84:E84"/>
    <mergeCell ref="F84:G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F6DF-B92C-4DBF-A986-77FC2E87050D}">
  <dimension ref="A1:AT88"/>
  <sheetViews>
    <sheetView topLeftCell="S46" zoomScale="120" zoomScaleNormal="120" workbookViewId="0">
      <selection activeCell="AC44" sqref="AC44"/>
    </sheetView>
  </sheetViews>
  <sheetFormatPr defaultRowHeight="15" x14ac:dyDescent="0.25"/>
  <cols>
    <col min="2" max="2" width="12.5703125" customWidth="1"/>
    <col min="3" max="3" width="19.140625" customWidth="1"/>
    <col min="4" max="4" width="12.7109375" customWidth="1"/>
    <col min="5" max="5" width="13" customWidth="1"/>
    <col min="10" max="10" width="12.5703125" customWidth="1"/>
    <col min="11" max="11" width="13.5703125" customWidth="1"/>
    <col min="12" max="12" width="10.85546875" customWidth="1"/>
    <col min="13" max="13" width="11.7109375" customWidth="1"/>
    <col min="14" max="14" width="10.5703125" customWidth="1"/>
    <col min="15" max="15" width="10" customWidth="1"/>
    <col min="20" max="20" width="12.7109375" customWidth="1"/>
    <col min="21" max="21" width="16.28515625" customWidth="1"/>
    <col min="22" max="22" width="14.28515625" customWidth="1"/>
    <col min="23" max="23" width="11.7109375" customWidth="1"/>
    <col min="24" max="24" width="17.42578125" customWidth="1"/>
    <col min="31" max="31" width="14.85546875" customWidth="1"/>
    <col min="32" max="32" width="11.42578125" customWidth="1"/>
    <col min="33" max="33" width="14.28515625" customWidth="1"/>
    <col min="34" max="34" width="11.5703125" customWidth="1"/>
    <col min="36" max="36" width="15.28515625" customWidth="1"/>
    <col min="37" max="37" width="14.140625" customWidth="1"/>
    <col min="38" max="38" width="12.140625" customWidth="1"/>
  </cols>
  <sheetData>
    <row r="1" spans="1:34" ht="15.75" x14ac:dyDescent="0.25">
      <c r="A1" s="270" t="s">
        <v>77</v>
      </c>
      <c r="B1" s="270"/>
      <c r="C1" s="270"/>
      <c r="D1" s="270"/>
      <c r="E1" s="270"/>
      <c r="F1" s="270"/>
      <c r="G1" s="100"/>
      <c r="H1" s="100"/>
      <c r="I1" s="100"/>
      <c r="J1" s="100"/>
      <c r="K1" s="100"/>
      <c r="L1" s="100"/>
      <c r="M1" s="100"/>
    </row>
    <row r="2" spans="1:34" ht="37.5" customHeight="1" x14ac:dyDescent="0.25">
      <c r="A2" s="100"/>
      <c r="B2" s="100"/>
      <c r="C2" s="100"/>
      <c r="D2" s="100"/>
      <c r="E2" s="100"/>
      <c r="F2" s="100"/>
      <c r="G2" s="270" t="s">
        <v>86</v>
      </c>
      <c r="H2" s="270"/>
      <c r="I2" s="270"/>
      <c r="J2" s="270"/>
      <c r="K2" s="270"/>
      <c r="L2" s="100"/>
      <c r="M2" s="100"/>
    </row>
    <row r="3" spans="1:34" ht="36" customHeight="1" x14ac:dyDescent="0.25">
      <c r="A3" s="100"/>
      <c r="B3" s="97" t="s">
        <v>111</v>
      </c>
      <c r="C3" s="97" t="s">
        <v>114</v>
      </c>
      <c r="D3" s="97" t="s">
        <v>112</v>
      </c>
      <c r="E3" s="97" t="s">
        <v>113</v>
      </c>
      <c r="F3" s="100"/>
      <c r="G3" s="100"/>
      <c r="H3" s="100"/>
      <c r="I3" s="100"/>
      <c r="J3" s="100"/>
      <c r="K3" s="100"/>
      <c r="L3" s="100"/>
      <c r="M3" s="100"/>
    </row>
    <row r="4" spans="1:34" ht="60" x14ac:dyDescent="0.25">
      <c r="A4" s="100"/>
      <c r="B4" s="98" t="s">
        <v>100</v>
      </c>
      <c r="C4" s="98" t="s">
        <v>73</v>
      </c>
      <c r="D4" s="98" t="s">
        <v>78</v>
      </c>
      <c r="E4" s="98" t="s">
        <v>79</v>
      </c>
      <c r="F4" s="100"/>
      <c r="G4" s="100"/>
      <c r="H4" s="100"/>
      <c r="I4" s="100"/>
      <c r="J4" s="100"/>
      <c r="K4" s="100"/>
      <c r="L4" s="100"/>
      <c r="M4" s="100"/>
      <c r="AD4" s="38" t="s">
        <v>87</v>
      </c>
      <c r="AE4" s="17" t="s">
        <v>20</v>
      </c>
      <c r="AF4" s="84" t="s">
        <v>21</v>
      </c>
      <c r="AG4" s="84" t="s">
        <v>51</v>
      </c>
      <c r="AH4" s="84" t="s">
        <v>19</v>
      </c>
    </row>
    <row r="5" spans="1:34" ht="26.25" customHeight="1" x14ac:dyDescent="0.25">
      <c r="A5" s="100"/>
      <c r="B5" s="98" t="s">
        <v>187</v>
      </c>
      <c r="C5" s="98" t="s">
        <v>73</v>
      </c>
      <c r="D5" s="98" t="s">
        <v>80</v>
      </c>
      <c r="E5" s="98" t="s">
        <v>79</v>
      </c>
      <c r="F5" s="100"/>
      <c r="G5" s="100"/>
      <c r="H5" s="100"/>
      <c r="I5" s="102" t="s">
        <v>87</v>
      </c>
      <c r="J5" s="103" t="s">
        <v>17</v>
      </c>
      <c r="K5" s="104" t="s">
        <v>18</v>
      </c>
      <c r="L5" s="104" t="s">
        <v>189</v>
      </c>
      <c r="M5" s="104" t="s">
        <v>190</v>
      </c>
      <c r="AC5" s="272" t="s">
        <v>153</v>
      </c>
      <c r="AD5" s="101" t="s">
        <v>100</v>
      </c>
      <c r="AE5" s="76">
        <f>'urban refuelH2 demand and costs'!S3</f>
        <v>5.84</v>
      </c>
      <c r="AF5" s="76">
        <f>'urban refuelH2 demand and costs'!V3</f>
        <v>3.0300000000000002</v>
      </c>
      <c r="AG5" s="77">
        <f>'urban refuelH2 demand and costs'!Y3</f>
        <v>3.0200000000000005</v>
      </c>
      <c r="AH5" s="77">
        <f t="shared" ref="AH5:AH22" si="0">SUM(AE5:AG5)</f>
        <v>11.89</v>
      </c>
    </row>
    <row r="6" spans="1:34" ht="15.75" customHeight="1" x14ac:dyDescent="0.25">
      <c r="A6" s="100"/>
      <c r="B6" s="98" t="s">
        <v>102</v>
      </c>
      <c r="C6" s="98" t="s">
        <v>73</v>
      </c>
      <c r="D6" s="98" t="s">
        <v>82</v>
      </c>
      <c r="E6" s="98" t="s">
        <v>79</v>
      </c>
      <c r="F6" s="100"/>
      <c r="G6" s="100"/>
      <c r="H6" s="272" t="s">
        <v>153</v>
      </c>
      <c r="I6" s="101" t="s">
        <v>100</v>
      </c>
      <c r="J6" s="105">
        <f>'urban refuelH2 demand and costs'!H3</f>
        <v>2.34</v>
      </c>
      <c r="K6" s="105">
        <f>'urban refuelH2 demand and costs'!J3</f>
        <v>2.3502521842007189</v>
      </c>
      <c r="L6" s="106">
        <f>'urban refuelH2 demand and costs'!M3*1.7</f>
        <v>4.3977326000066688</v>
      </c>
      <c r="M6" s="106">
        <f>J6+K6+L6</f>
        <v>9.0879847842073875</v>
      </c>
      <c r="AC6" s="273"/>
      <c r="AD6" s="101" t="s">
        <v>187</v>
      </c>
      <c r="AE6" s="76">
        <f>'urban refuelH2 demand and costs'!U3</f>
        <v>6.2604930593436432</v>
      </c>
      <c r="AF6" s="77">
        <f>'urban refuelH2 demand and costs'!X3</f>
        <v>3.0535545246936673</v>
      </c>
      <c r="AG6" s="77">
        <f>'urban refuelH2 demand and costs'!AA3</f>
        <v>3.6550755565277999</v>
      </c>
      <c r="AH6" s="77">
        <f t="shared" si="0"/>
        <v>12.969123140565111</v>
      </c>
    </row>
    <row r="7" spans="1:34" ht="15.75" x14ac:dyDescent="0.25">
      <c r="A7" s="100"/>
      <c r="B7" s="98" t="s">
        <v>103</v>
      </c>
      <c r="C7" s="99" t="s">
        <v>85</v>
      </c>
      <c r="D7" s="98" t="s">
        <v>78</v>
      </c>
      <c r="E7" s="98" t="s">
        <v>79</v>
      </c>
      <c r="F7" s="100"/>
      <c r="G7" s="100"/>
      <c r="H7" s="273"/>
      <c r="I7" s="101" t="s">
        <v>187</v>
      </c>
      <c r="J7" s="105">
        <f>'urban refuelH2 demand and costs'!H3</f>
        <v>2.34</v>
      </c>
      <c r="K7" s="106">
        <f>'urban refuelH2 demand and costs'!L3*1.12</f>
        <v>2.8522365335654949</v>
      </c>
      <c r="L7" s="106">
        <f>'urban refuelH2 demand and costs'!O3*1.5</f>
        <v>5.2087250676795929</v>
      </c>
      <c r="M7" s="106">
        <f>J7+K7+L7</f>
        <v>10.400961601245088</v>
      </c>
      <c r="AC7" s="273"/>
      <c r="AD7" s="101" t="s">
        <v>102</v>
      </c>
      <c r="AE7" s="76">
        <f>'urban refuelH2 demand and costs'!T3</f>
        <v>5.4553588278161467</v>
      </c>
      <c r="AF7" s="77">
        <f>'urban refuelH2 demand and costs'!W3</f>
        <v>2.6206390438110789</v>
      </c>
      <c r="AG7" s="77">
        <f>'urban refuelH2 demand and costs'!Z3</f>
        <v>3.0148252616813398</v>
      </c>
      <c r="AH7" s="77">
        <f t="shared" si="0"/>
        <v>11.090823133308566</v>
      </c>
    </row>
    <row r="8" spans="1:34" ht="15.75" x14ac:dyDescent="0.25">
      <c r="A8" s="100"/>
      <c r="B8" s="98" t="s">
        <v>188</v>
      </c>
      <c r="C8" s="99" t="s">
        <v>85</v>
      </c>
      <c r="D8" s="98" t="s">
        <v>80</v>
      </c>
      <c r="E8" s="98" t="s">
        <v>79</v>
      </c>
      <c r="F8" s="100"/>
      <c r="G8" s="100"/>
      <c r="H8" s="273"/>
      <c r="I8" s="101" t="s">
        <v>102</v>
      </c>
      <c r="J8" s="105">
        <f>'urban refuelH2 demand and costs'!H3</f>
        <v>2.34</v>
      </c>
      <c r="K8" s="106">
        <f>'urban refuelH2 demand and costs'!K3*5</f>
        <v>3.8785433778643656</v>
      </c>
      <c r="L8" s="106">
        <f>'urban refuelH2 demand and costs'!N3*1.4</f>
        <v>4.7111602408299689</v>
      </c>
      <c r="M8" s="106">
        <f>J8+K8+L8</f>
        <v>10.929703618694335</v>
      </c>
      <c r="N8" t="s">
        <v>186</v>
      </c>
      <c r="AC8" s="273"/>
      <c r="AD8" s="101" t="s">
        <v>103</v>
      </c>
      <c r="AE8" s="76">
        <f>'urban refuelH2 demand and costs'!S4</f>
        <v>3.8284628362962652</v>
      </c>
      <c r="AF8" s="77">
        <f>'urban refuelH2 demand and costs'!V4</f>
        <v>1.87</v>
      </c>
      <c r="AG8" s="134">
        <f>'urban refuelH2 demand and costs'!Y4</f>
        <v>5.78</v>
      </c>
      <c r="AH8" s="77">
        <f t="shared" si="0"/>
        <v>11.478462836296266</v>
      </c>
    </row>
    <row r="9" spans="1:34" ht="15.75" x14ac:dyDescent="0.25">
      <c r="A9" s="100"/>
      <c r="B9" s="98" t="s">
        <v>105</v>
      </c>
      <c r="C9" s="99" t="s">
        <v>85</v>
      </c>
      <c r="D9" s="98" t="s">
        <v>82</v>
      </c>
      <c r="E9" s="98" t="s">
        <v>79</v>
      </c>
      <c r="F9" s="100"/>
      <c r="G9" s="100"/>
      <c r="H9" s="273"/>
      <c r="I9" s="101" t="s">
        <v>103</v>
      </c>
      <c r="J9" s="105">
        <f>'urban refuelH2 demand and costs'!I4</f>
        <v>6.4959947295616072</v>
      </c>
      <c r="K9" s="106">
        <f>'urban refuelH2 demand and costs'!J4</f>
        <v>2.3502521842007189</v>
      </c>
      <c r="L9" s="107">
        <f>'urban refuelH2 demand and costs'!M3*1.7</f>
        <v>4.3977326000066688</v>
      </c>
      <c r="M9" s="106">
        <f t="shared" ref="M9:M23" si="1">SUM(J9:L9)</f>
        <v>13.243979513768995</v>
      </c>
      <c r="N9" s="78">
        <f>AVERAGE(M6:M11)</f>
        <v>12.217547366163075</v>
      </c>
      <c r="AC9" s="273"/>
      <c r="AD9" s="101" t="s">
        <v>188</v>
      </c>
      <c r="AE9" s="76">
        <f>'urban refuelH2 demand and costs'!U4</f>
        <v>4.2489558956399085</v>
      </c>
      <c r="AF9" s="134">
        <f>'urban refuelH2 demand and costs'!X4</f>
        <v>1.8935545246936669</v>
      </c>
      <c r="AG9" s="134">
        <f>'urban refuelH2 demand and costs'!AA4</f>
        <v>6.4150755565277997</v>
      </c>
      <c r="AH9" s="77">
        <f t="shared" si="0"/>
        <v>12.557585976861375</v>
      </c>
    </row>
    <row r="10" spans="1:34" ht="15.75" x14ac:dyDescent="0.25">
      <c r="A10" s="100"/>
      <c r="B10" s="100"/>
      <c r="C10" s="100"/>
      <c r="D10" s="100"/>
      <c r="E10" s="100"/>
      <c r="F10" s="100"/>
      <c r="G10" s="100"/>
      <c r="H10" s="273"/>
      <c r="I10" s="101" t="s">
        <v>188</v>
      </c>
      <c r="J10" s="105">
        <f>'urban refuelH2 demand and costs'!I4</f>
        <v>6.4959947295616072</v>
      </c>
      <c r="K10" s="107">
        <f>'urban refuelH2 demand and costs'!L3*1.12</f>
        <v>2.8522365335654949</v>
      </c>
      <c r="L10" s="107">
        <f>'urban refuelH2 demand and costs'!O3*1.5</f>
        <v>5.2087250676795929</v>
      </c>
      <c r="M10" s="106">
        <f t="shared" si="1"/>
        <v>14.556956330806695</v>
      </c>
      <c r="AC10" s="274"/>
      <c r="AD10" s="101" t="s">
        <v>105</v>
      </c>
      <c r="AE10" s="76">
        <f>'urban refuelH2 demand and costs'!T4</f>
        <v>3.4438216641124115</v>
      </c>
      <c r="AF10" s="134">
        <f>'urban refuelH2 demand and costs'!W4</f>
        <v>1.4606390438110788</v>
      </c>
      <c r="AG10" s="134">
        <f>'urban refuelH2 demand and costs'!Z4</f>
        <v>5.7748252616813396</v>
      </c>
      <c r="AH10" s="77">
        <f t="shared" si="0"/>
        <v>10.67928596960483</v>
      </c>
    </row>
    <row r="11" spans="1:34" ht="15.75" customHeight="1" x14ac:dyDescent="0.25">
      <c r="A11" s="100"/>
      <c r="B11" s="100"/>
      <c r="C11" s="100"/>
      <c r="D11" s="100"/>
      <c r="E11" s="100"/>
      <c r="F11" s="100"/>
      <c r="G11" s="100"/>
      <c r="H11" s="274"/>
      <c r="I11" s="101" t="s">
        <v>105</v>
      </c>
      <c r="J11" s="105">
        <f>'urban refuelH2 demand and costs'!I4</f>
        <v>6.4959947295616072</v>
      </c>
      <c r="K11" s="107">
        <f>'urban refuelH2 demand and costs'!K3*5</f>
        <v>3.8785433778643656</v>
      </c>
      <c r="L11" s="107">
        <f>'urban refuelH2 demand and costs'!N3*1.4</f>
        <v>4.7111602408299689</v>
      </c>
      <c r="M11" s="106">
        <f t="shared" si="1"/>
        <v>15.085698348255942</v>
      </c>
      <c r="AC11" s="272" t="s">
        <v>154</v>
      </c>
      <c r="AD11" s="101" t="s">
        <v>100</v>
      </c>
      <c r="AE11" s="76">
        <f>'urban refuelH2 demand and costs'!S9</f>
        <v>4.57</v>
      </c>
      <c r="AF11" s="76">
        <f>'urban refuelH2 demand and costs'!V9</f>
        <v>2.06</v>
      </c>
      <c r="AG11" s="77">
        <f>'urban refuelH2 demand and costs'!Y9</f>
        <v>1.89</v>
      </c>
      <c r="AH11" s="172">
        <f t="shared" si="0"/>
        <v>8.5200000000000014</v>
      </c>
    </row>
    <row r="12" spans="1:34" ht="15.75" customHeight="1" x14ac:dyDescent="0.25">
      <c r="A12" s="100"/>
      <c r="B12" s="100"/>
      <c r="C12" s="100"/>
      <c r="D12" s="100"/>
      <c r="E12" s="100"/>
      <c r="F12" s="100"/>
      <c r="G12" s="100"/>
      <c r="H12" s="272" t="s">
        <v>154</v>
      </c>
      <c r="I12" s="101" t="s">
        <v>100</v>
      </c>
      <c r="J12" s="105">
        <f>'urban refuelH2 demand and costs'!H9</f>
        <v>2.4700000000000002</v>
      </c>
      <c r="K12" s="105">
        <f>'urban refuelH2 demand and costs'!J9</f>
        <v>1.7621652175789317</v>
      </c>
      <c r="L12" s="106">
        <f>'urban refuelH2 demand and costs'!M9*2.3</f>
        <v>3.3754124372090106</v>
      </c>
      <c r="M12" s="106">
        <f t="shared" si="1"/>
        <v>7.6075776547879421</v>
      </c>
      <c r="AC12" s="273"/>
      <c r="AD12" s="101" t="s">
        <v>187</v>
      </c>
      <c r="AE12" s="76">
        <f>'urban refuelH2 demand and costs'!U9</f>
        <v>5.2421342107791826</v>
      </c>
      <c r="AF12" s="77">
        <f>'urban refuelH2 demand and costs'!X9</f>
        <v>2.1356277307999023</v>
      </c>
      <c r="AG12" s="77">
        <f>'urban refuelH2 demand and costs'!AA9</f>
        <v>2.4238477498653452</v>
      </c>
      <c r="AH12" s="172">
        <f t="shared" si="0"/>
        <v>9.8016096914444297</v>
      </c>
    </row>
    <row r="13" spans="1:34" ht="15.75" x14ac:dyDescent="0.25">
      <c r="A13" s="100"/>
      <c r="B13" s="100"/>
      <c r="C13" s="100"/>
      <c r="D13" s="100"/>
      <c r="E13" s="100"/>
      <c r="F13" s="100"/>
      <c r="G13" s="100"/>
      <c r="H13" s="273"/>
      <c r="I13" s="101" t="s">
        <v>187</v>
      </c>
      <c r="J13" s="105">
        <f>'urban refuelH2 demand and costs'!H9</f>
        <v>2.4700000000000002</v>
      </c>
      <c r="K13" s="106">
        <f>'urban refuelH2 demand and costs'!L9*1.1</f>
        <v>2.7300512159056183</v>
      </c>
      <c r="L13" s="106">
        <f>'urban refuelH2 demand and costs'!O9*2.2</f>
        <v>4.4654388893665091</v>
      </c>
      <c r="M13" s="106">
        <f t="shared" si="1"/>
        <v>9.6654901052721272</v>
      </c>
      <c r="AC13" s="273"/>
      <c r="AD13" s="101" t="s">
        <v>102</v>
      </c>
      <c r="AE13" s="76">
        <f>'urban refuelH2 demand and costs'!T9</f>
        <v>4.49</v>
      </c>
      <c r="AF13" s="77">
        <f>'urban refuelH2 demand and costs'!W9</f>
        <v>1.72</v>
      </c>
      <c r="AG13" s="77">
        <f>'urban refuelH2 demand and costs'!Z9</f>
        <v>1.76</v>
      </c>
      <c r="AH13" s="172">
        <f t="shared" si="0"/>
        <v>7.97</v>
      </c>
    </row>
    <row r="14" spans="1:34" ht="15.75" x14ac:dyDescent="0.25">
      <c r="A14" s="100"/>
      <c r="B14" s="100"/>
      <c r="C14" s="100"/>
      <c r="D14" s="100"/>
      <c r="E14" s="100"/>
      <c r="F14" s="100"/>
      <c r="G14" s="100"/>
      <c r="H14" s="273"/>
      <c r="I14" s="101" t="s">
        <v>102</v>
      </c>
      <c r="J14" s="105">
        <f>'urban refuelH2 demand and costs'!H9</f>
        <v>2.4700000000000002</v>
      </c>
      <c r="K14" s="106">
        <f>'urban refuelH2 demand and costs'!K9*3.5</f>
        <v>2.5801309552065725</v>
      </c>
      <c r="L14" s="106">
        <f>'urban refuelH2 demand and costs'!N9*2</f>
        <v>3.8716930062799837</v>
      </c>
      <c r="M14" s="106">
        <f t="shared" si="1"/>
        <v>8.921823961486556</v>
      </c>
      <c r="N14" s="78">
        <f>AVERAGE(M12:M17)</f>
        <v>9.5590542788676149</v>
      </c>
      <c r="AC14" s="273"/>
      <c r="AD14" s="101" t="s">
        <v>103</v>
      </c>
      <c r="AE14" s="76">
        <f>'urban refuelH2 demand and costs'!S10</f>
        <v>2.37</v>
      </c>
      <c r="AF14" s="77">
        <f>'urban refuelH2 demand and costs'!V10</f>
        <v>1.42</v>
      </c>
      <c r="AG14" s="134">
        <f>'urban refuelH2 demand and costs'!Y10</f>
        <v>3.62</v>
      </c>
      <c r="AH14" s="77">
        <f t="shared" si="0"/>
        <v>7.41</v>
      </c>
    </row>
    <row r="15" spans="1:34" ht="15.75" x14ac:dyDescent="0.25">
      <c r="A15" s="100"/>
      <c r="B15" s="100"/>
      <c r="C15" s="100"/>
      <c r="D15" s="100"/>
      <c r="E15" s="100"/>
      <c r="F15" s="100"/>
      <c r="G15" s="100"/>
      <c r="H15" s="273"/>
      <c r="I15" s="101" t="s">
        <v>103</v>
      </c>
      <c r="J15" s="105">
        <f>'urban refuelH2 demand and costs'!I10</f>
        <v>4.1248474100374786</v>
      </c>
      <c r="K15" s="106" cm="1">
        <f t="array" ref="K15:K17">K12:K14</f>
        <v>1.7621652175789317</v>
      </c>
      <c r="L15" s="107" cm="1">
        <f t="array" ref="L15:L17">L12:L14</f>
        <v>3.3754124372090106</v>
      </c>
      <c r="M15" s="106">
        <f t="shared" si="1"/>
        <v>9.2624250648254218</v>
      </c>
      <c r="AC15" s="273"/>
      <c r="AD15" s="101" t="s">
        <v>188</v>
      </c>
      <c r="AE15" s="76">
        <f>'urban refuelH2 demand and costs'!U10</f>
        <v>3.0421342107791824</v>
      </c>
      <c r="AF15" s="134">
        <f>'urban refuelH2 demand and costs'!X10</f>
        <v>1.495627730799902</v>
      </c>
      <c r="AG15" s="134">
        <f>'urban refuelH2 demand and costs'!AA10</f>
        <v>4.1538477498653457</v>
      </c>
      <c r="AH15" s="77">
        <f t="shared" si="0"/>
        <v>8.6916096914444303</v>
      </c>
    </row>
    <row r="16" spans="1:34" ht="15.75" x14ac:dyDescent="0.25">
      <c r="A16" s="100"/>
      <c r="B16" s="100"/>
      <c r="C16" s="100"/>
      <c r="D16" s="100"/>
      <c r="E16" s="100"/>
      <c r="F16" s="100"/>
      <c r="G16" s="100"/>
      <c r="H16" s="273"/>
      <c r="I16" s="101" t="s">
        <v>188</v>
      </c>
      <c r="J16" s="105">
        <f>'urban refuelH2 demand and costs'!I10</f>
        <v>4.1248474100374786</v>
      </c>
      <c r="K16" s="107">
        <v>2.7300512159056183</v>
      </c>
      <c r="L16" s="107">
        <v>4.4654388893665091</v>
      </c>
      <c r="M16" s="106">
        <f t="shared" si="1"/>
        <v>11.320337515309607</v>
      </c>
      <c r="AC16" s="274"/>
      <c r="AD16" s="101" t="s">
        <v>105</v>
      </c>
      <c r="AE16" s="76">
        <f>'urban refuelH2 demand and costs'!T10</f>
        <v>2.29</v>
      </c>
      <c r="AF16" s="134">
        <f>'urban refuelH2 demand and costs'!W10</f>
        <v>1.08</v>
      </c>
      <c r="AG16" s="134">
        <f>'urban refuelH2 demand and costs'!Z10</f>
        <v>3.4899999999999998</v>
      </c>
      <c r="AH16" s="77">
        <f t="shared" si="0"/>
        <v>6.8599999999999994</v>
      </c>
    </row>
    <row r="17" spans="1:34" ht="33" customHeight="1" x14ac:dyDescent="0.25">
      <c r="A17" s="100"/>
      <c r="B17" s="100"/>
      <c r="C17" s="100"/>
      <c r="D17" s="100"/>
      <c r="E17" s="100"/>
      <c r="F17" s="100"/>
      <c r="G17" s="100"/>
      <c r="H17" s="274"/>
      <c r="I17" s="101" t="s">
        <v>105</v>
      </c>
      <c r="J17" s="105">
        <f>'urban refuelH2 demand and costs'!I10</f>
        <v>4.1248474100374786</v>
      </c>
      <c r="K17" s="107">
        <v>2.5801309552065725</v>
      </c>
      <c r="L17" s="107">
        <v>3.8716930062799837</v>
      </c>
      <c r="M17" s="106">
        <f t="shared" si="1"/>
        <v>10.576671371524034</v>
      </c>
      <c r="AC17" s="272" t="s">
        <v>155</v>
      </c>
      <c r="AD17" s="101" t="s">
        <v>100</v>
      </c>
      <c r="AE17" s="76">
        <f>'urban refuelH2 demand and costs'!S21</f>
        <v>4.37</v>
      </c>
      <c r="AF17" s="76">
        <f>'urban refuelH2 demand and costs'!V15</f>
        <v>3.3</v>
      </c>
      <c r="AG17" s="77">
        <f>'urban refuelH2 demand and costs'!Y15</f>
        <v>2.6500000000000004</v>
      </c>
      <c r="AH17" s="172">
        <f t="shared" si="0"/>
        <v>10.32</v>
      </c>
    </row>
    <row r="18" spans="1:34" ht="15.75" customHeight="1" x14ac:dyDescent="0.25">
      <c r="A18" s="100"/>
      <c r="B18" s="100"/>
      <c r="C18" s="100"/>
      <c r="D18" s="100"/>
      <c r="E18" s="100"/>
      <c r="F18" s="100"/>
      <c r="G18" s="100"/>
      <c r="H18" s="272" t="s">
        <v>155</v>
      </c>
      <c r="I18" s="101" t="s">
        <v>100</v>
      </c>
      <c r="J18" s="105">
        <f>'urban refuelH2 demand and costs'!H15</f>
        <v>2.2599999999999998</v>
      </c>
      <c r="K18" s="105">
        <f>'urban refuelH2 demand and costs'!J15</f>
        <v>1.6739510676506639</v>
      </c>
      <c r="L18" s="106">
        <f>'urban refuelH2 demand and costs'!M15*1.5</f>
        <v>1.8772351405311944</v>
      </c>
      <c r="M18" s="106">
        <f t="shared" si="1"/>
        <v>5.8111862081818586</v>
      </c>
      <c r="AC18" s="273"/>
      <c r="AD18" s="101" t="s">
        <v>187</v>
      </c>
      <c r="AE18" s="76">
        <f>'urban refuelH2 demand and costs'!U21</f>
        <v>5.0840771954158051</v>
      </c>
      <c r="AF18" s="77">
        <f>'urban refuelH2 demand and costs'!X15</f>
        <v>3.3813326128613728</v>
      </c>
      <c r="AG18" s="77">
        <f>'urban refuelH2 demand and costs'!AA15</f>
        <v>3.0826199432028911</v>
      </c>
      <c r="AH18" s="172">
        <f t="shared" si="0"/>
        <v>11.548029751480069</v>
      </c>
    </row>
    <row r="19" spans="1:34" ht="15.75" x14ac:dyDescent="0.25">
      <c r="A19" s="100"/>
      <c r="B19" s="100"/>
      <c r="C19" s="100"/>
      <c r="D19" s="100"/>
      <c r="E19" s="100"/>
      <c r="F19" s="100"/>
      <c r="G19" s="100"/>
      <c r="H19" s="273"/>
      <c r="I19" s="101" t="s">
        <v>187</v>
      </c>
      <c r="J19" s="105">
        <f>J18</f>
        <v>2.2599999999999998</v>
      </c>
      <c r="K19" s="106">
        <f>'urban refuelH2 demand and costs'!L15</f>
        <v>2.4698306120886349</v>
      </c>
      <c r="L19" s="106">
        <f>'urban refuelH2 demand and costs'!O15</f>
        <v>1.6781991393914344</v>
      </c>
      <c r="M19" s="106">
        <f t="shared" si="1"/>
        <v>6.4080297514800693</v>
      </c>
      <c r="AC19" s="273"/>
      <c r="AD19" s="101" t="s">
        <v>102</v>
      </c>
      <c r="AE19" s="76">
        <f>'urban refuelH2 demand and costs'!T21</f>
        <v>4.33</v>
      </c>
      <c r="AF19" s="77">
        <f>'urban refuelH2 demand and costs'!W15</f>
        <v>2.9699999999999998</v>
      </c>
      <c r="AG19" s="77">
        <f>'urban refuelH2 demand and costs'!Z15</f>
        <v>2.39</v>
      </c>
      <c r="AH19" s="172">
        <f t="shared" si="0"/>
        <v>9.69</v>
      </c>
    </row>
    <row r="20" spans="1:34" ht="15.75" x14ac:dyDescent="0.25">
      <c r="A20" s="100"/>
      <c r="B20" s="100"/>
      <c r="C20" s="100"/>
      <c r="D20" s="100"/>
      <c r="E20" s="100"/>
      <c r="F20" s="100"/>
      <c r="G20" s="100"/>
      <c r="H20" s="273"/>
      <c r="I20" s="101" t="s">
        <v>102</v>
      </c>
      <c r="J20" s="105">
        <f>J18</f>
        <v>2.2599999999999998</v>
      </c>
      <c r="K20" s="106">
        <f>'urban refuelH2 demand and costs'!K15*1.5</f>
        <v>1.096616044309447</v>
      </c>
      <c r="L20" s="106">
        <f>'urban refuelH2 demand and costs'!N15</f>
        <v>1.5614593237578549</v>
      </c>
      <c r="M20" s="106">
        <f t="shared" si="1"/>
        <v>4.9180753680673011</v>
      </c>
      <c r="N20" s="78">
        <f>AVERAGE(M18:M23)</f>
        <v>5.27743044257641</v>
      </c>
      <c r="AC20" s="273"/>
      <c r="AD20" s="101" t="s">
        <v>103</v>
      </c>
      <c r="AE20" s="76">
        <f>'urban refuelH2 demand and costs'!S16</f>
        <v>1.75</v>
      </c>
      <c r="AF20" s="78">
        <f>'urban refuelH2 demand and costs'!V16</f>
        <v>1.1599999999999999</v>
      </c>
      <c r="AG20" s="134">
        <f>'urban refuelH2 demand and costs'!Y16</f>
        <v>1.46</v>
      </c>
      <c r="AH20" s="77">
        <f t="shared" si="0"/>
        <v>4.37</v>
      </c>
    </row>
    <row r="21" spans="1:34" ht="15.75" x14ac:dyDescent="0.25">
      <c r="A21" s="100"/>
      <c r="B21" s="100"/>
      <c r="C21" s="100"/>
      <c r="D21" s="100"/>
      <c r="E21" s="100"/>
      <c r="F21" s="100"/>
      <c r="G21" s="100"/>
      <c r="H21" s="273"/>
      <c r="I21" s="101" t="s">
        <v>103</v>
      </c>
      <c r="J21" s="105">
        <f>'urban refuelH2 demand and costs'!I16</f>
        <v>1.39</v>
      </c>
      <c r="K21" s="108" cm="1">
        <f t="array" ref="K21:K23">K18:K20</f>
        <v>1.6739510676506639</v>
      </c>
      <c r="L21" s="107" cm="1">
        <f t="array" ref="L21:L23">L18:L20</f>
        <v>1.8772351405311944</v>
      </c>
      <c r="M21" s="106">
        <f t="shared" si="1"/>
        <v>4.9411862081818585</v>
      </c>
      <c r="U21" s="275" t="s">
        <v>139</v>
      </c>
      <c r="V21" s="275"/>
      <c r="W21" s="275"/>
      <c r="AC21" s="273"/>
      <c r="AD21" s="101" t="s">
        <v>188</v>
      </c>
      <c r="AE21" s="76">
        <f>'urban refuelH2 demand and costs'!U22</f>
        <v>2.4640771954158049</v>
      </c>
      <c r="AF21" s="77">
        <f>'urban refuelH2 demand and costs'!X16</f>
        <v>1.2413326128613729</v>
      </c>
      <c r="AG21" s="134">
        <f>'urban refuelH2 demand and costs'!AA16</f>
        <v>1.8926199432028907</v>
      </c>
      <c r="AH21" s="77">
        <f t="shared" si="0"/>
        <v>5.5980297514800688</v>
      </c>
    </row>
    <row r="22" spans="1:34" ht="15.75" x14ac:dyDescent="0.25">
      <c r="A22" s="100"/>
      <c r="B22" s="100"/>
      <c r="C22" s="100"/>
      <c r="D22" s="100"/>
      <c r="E22" s="100"/>
      <c r="F22" s="100"/>
      <c r="G22" s="100"/>
      <c r="H22" s="273"/>
      <c r="I22" s="101" t="s">
        <v>188</v>
      </c>
      <c r="J22" s="105">
        <f>J21</f>
        <v>1.39</v>
      </c>
      <c r="K22" s="106">
        <v>2.4698306120886349</v>
      </c>
      <c r="L22" s="107">
        <v>1.6781991393914344</v>
      </c>
      <c r="M22" s="106">
        <f t="shared" si="1"/>
        <v>5.5380297514800692</v>
      </c>
      <c r="AC22" s="274"/>
      <c r="AD22" s="101" t="s">
        <v>105</v>
      </c>
      <c r="AE22" s="76">
        <f>'urban refuelH2 demand and costs'!T22</f>
        <v>1.71</v>
      </c>
      <c r="AF22" s="134">
        <f>'urban refuelH2 demand and costs'!W16</f>
        <v>0.83</v>
      </c>
      <c r="AG22" s="134">
        <f>'urban refuelH2 demand and costs'!Z16</f>
        <v>1.2000000000000002</v>
      </c>
      <c r="AH22" s="77">
        <f t="shared" si="0"/>
        <v>3.74</v>
      </c>
    </row>
    <row r="23" spans="1:34" ht="15.75" x14ac:dyDescent="0.25">
      <c r="A23" s="100"/>
      <c r="B23" s="100"/>
      <c r="C23" s="100"/>
      <c r="D23" s="100"/>
      <c r="E23" s="100"/>
      <c r="F23" s="100"/>
      <c r="G23" s="100"/>
      <c r="H23" s="274"/>
      <c r="I23" s="101" t="s">
        <v>105</v>
      </c>
      <c r="J23" s="105">
        <f>J22</f>
        <v>1.39</v>
      </c>
      <c r="K23" s="107">
        <v>1.096616044309447</v>
      </c>
      <c r="L23" s="107">
        <v>1.5614593237578549</v>
      </c>
      <c r="M23" s="106">
        <f t="shared" si="1"/>
        <v>4.0480753680673018</v>
      </c>
      <c r="U23" s="277" t="s">
        <v>37</v>
      </c>
      <c r="V23" s="277"/>
      <c r="W23" s="256" t="s">
        <v>109</v>
      </c>
      <c r="X23" s="256"/>
    </row>
    <row r="24" spans="1:34" ht="30" x14ac:dyDescent="0.25">
      <c r="U24" s="26" t="s">
        <v>73</v>
      </c>
      <c r="V24" s="26" t="s">
        <v>74</v>
      </c>
      <c r="W24" s="26" t="s">
        <v>73</v>
      </c>
      <c r="X24" s="26" t="s">
        <v>74</v>
      </c>
    </row>
    <row r="25" spans="1:34" ht="30" x14ac:dyDescent="0.25">
      <c r="T25" s="26" t="s">
        <v>153</v>
      </c>
      <c r="U25" s="76">
        <f>'Highway H2 demand and costs'!H3</f>
        <v>2.34</v>
      </c>
      <c r="V25" s="76">
        <f>'Highway H2 demand and costs'!I4</f>
        <v>6.4959947295616072</v>
      </c>
      <c r="W25" s="76">
        <f>'Highway H2 demand and costs'!H5</f>
        <v>2</v>
      </c>
      <c r="X25" s="76">
        <f>'Highway H2 demand and costs'!I6</f>
        <v>6.89</v>
      </c>
    </row>
    <row r="26" spans="1:34" ht="30.75" x14ac:dyDescent="0.3">
      <c r="A26" s="257" t="s">
        <v>83</v>
      </c>
      <c r="B26" s="257"/>
      <c r="C26" s="257"/>
      <c r="D26" s="257"/>
      <c r="E26" s="257"/>
      <c r="F26" s="257"/>
      <c r="T26" s="26" t="s">
        <v>154</v>
      </c>
      <c r="U26" s="76">
        <f>'Highway H2 demand and costs'!H9</f>
        <v>2.4700000000000002</v>
      </c>
      <c r="V26" s="76">
        <f>'Highway H2 demand and costs'!I10</f>
        <v>4.1248474100374786</v>
      </c>
      <c r="W26" s="76">
        <f>'Highway H2 demand and costs'!H11</f>
        <v>2.08</v>
      </c>
      <c r="X26" s="76">
        <f>'Highway H2 demand and costs'!I12</f>
        <v>4.74</v>
      </c>
    </row>
    <row r="27" spans="1:34" ht="30" x14ac:dyDescent="0.25">
      <c r="T27" s="26" t="s">
        <v>155</v>
      </c>
      <c r="U27" s="76">
        <f>'Highway H2 demand and costs'!H15</f>
        <v>2.2599999999999998</v>
      </c>
      <c r="V27" s="76">
        <f>'Highway H2 demand and costs'!I16</f>
        <v>1.39</v>
      </c>
      <c r="W27" s="76">
        <f>'Highway H2 demand and costs'!H17</f>
        <v>2.09</v>
      </c>
      <c r="X27" s="76">
        <f>'Highway H2 demand and costs'!I18</f>
        <v>1.8</v>
      </c>
    </row>
    <row r="28" spans="1:34" ht="29.25" x14ac:dyDescent="0.25">
      <c r="A28" s="97" t="s">
        <v>111</v>
      </c>
      <c r="B28" s="271" t="s">
        <v>84</v>
      </c>
      <c r="C28" s="271"/>
      <c r="D28" s="97" t="s">
        <v>112</v>
      </c>
      <c r="E28" s="97" t="s">
        <v>113</v>
      </c>
    </row>
    <row r="29" spans="1:34" x14ac:dyDescent="0.25">
      <c r="A29" s="97"/>
      <c r="B29" s="109" t="s">
        <v>30</v>
      </c>
      <c r="C29" s="109" t="s">
        <v>115</v>
      </c>
      <c r="D29" s="97"/>
      <c r="E29" s="97"/>
    </row>
    <row r="30" spans="1:34" x14ac:dyDescent="0.25">
      <c r="A30" s="98" t="s">
        <v>101</v>
      </c>
      <c r="B30" s="98" t="s">
        <v>73</v>
      </c>
      <c r="C30" s="98"/>
      <c r="D30" s="98" t="s">
        <v>80</v>
      </c>
      <c r="E30" s="98" t="s">
        <v>81</v>
      </c>
    </row>
    <row r="31" spans="1:34" x14ac:dyDescent="0.25">
      <c r="A31" s="98" t="s">
        <v>102</v>
      </c>
      <c r="B31" s="98" t="s">
        <v>73</v>
      </c>
      <c r="C31" s="98"/>
      <c r="D31" s="98" t="s">
        <v>82</v>
      </c>
      <c r="E31" s="98" t="s">
        <v>79</v>
      </c>
    </row>
    <row r="32" spans="1:34" ht="30" x14ac:dyDescent="0.25">
      <c r="A32" s="98" t="s">
        <v>104</v>
      </c>
      <c r="B32" s="99" t="s">
        <v>85</v>
      </c>
      <c r="C32" s="98"/>
      <c r="D32" s="98" t="s">
        <v>80</v>
      </c>
      <c r="E32" s="98" t="s">
        <v>81</v>
      </c>
    </row>
    <row r="33" spans="1:39" ht="30" x14ac:dyDescent="0.25">
      <c r="A33" s="98" t="s">
        <v>105</v>
      </c>
      <c r="B33" s="99" t="s">
        <v>85</v>
      </c>
      <c r="C33" s="98"/>
      <c r="D33" s="98" t="s">
        <v>82</v>
      </c>
      <c r="E33" s="98" t="s">
        <v>79</v>
      </c>
    </row>
    <row r="34" spans="1:39" x14ac:dyDescent="0.25">
      <c r="A34" s="110" t="s">
        <v>106</v>
      </c>
      <c r="B34" s="98"/>
      <c r="C34" s="98" t="s">
        <v>73</v>
      </c>
      <c r="D34" s="98"/>
      <c r="E34" s="98" t="s">
        <v>79</v>
      </c>
    </row>
    <row r="35" spans="1:39" x14ac:dyDescent="0.25">
      <c r="A35" s="110" t="s">
        <v>110</v>
      </c>
      <c r="B35" s="98"/>
      <c r="C35" s="98" t="s">
        <v>73</v>
      </c>
      <c r="D35" s="98"/>
      <c r="E35" s="98" t="s">
        <v>81</v>
      </c>
    </row>
    <row r="36" spans="1:39" ht="18.75" x14ac:dyDescent="0.3">
      <c r="A36" s="110" t="s">
        <v>107</v>
      </c>
      <c r="B36" s="98"/>
      <c r="C36" s="99" t="s">
        <v>85</v>
      </c>
      <c r="D36" s="98"/>
      <c r="E36" s="98" t="s">
        <v>79</v>
      </c>
      <c r="I36" s="257" t="s">
        <v>88</v>
      </c>
      <c r="J36" s="257"/>
      <c r="K36" s="257"/>
      <c r="L36" s="257"/>
      <c r="M36" s="257"/>
    </row>
    <row r="37" spans="1:39" x14ac:dyDescent="0.25">
      <c r="A37" s="110" t="s">
        <v>108</v>
      </c>
      <c r="B37" s="98"/>
      <c r="C37" s="99" t="s">
        <v>85</v>
      </c>
      <c r="D37" s="98"/>
      <c r="E37" s="98" t="s">
        <v>81</v>
      </c>
    </row>
    <row r="38" spans="1:39" ht="45" x14ac:dyDescent="0.25">
      <c r="K38" s="38" t="s">
        <v>87</v>
      </c>
      <c r="L38" s="17" t="s">
        <v>17</v>
      </c>
      <c r="M38" s="41" t="s">
        <v>18</v>
      </c>
      <c r="N38" s="41" t="s">
        <v>189</v>
      </c>
      <c r="O38" s="41" t="s">
        <v>190</v>
      </c>
    </row>
    <row r="39" spans="1:39" x14ac:dyDescent="0.25">
      <c r="J39" s="266" t="s">
        <v>153</v>
      </c>
      <c r="K39" s="81" t="s">
        <v>101</v>
      </c>
      <c r="L39" s="76">
        <f>'Highway H2 demand and costs'!H3</f>
        <v>2.34</v>
      </c>
      <c r="M39" s="76">
        <f>'Highway H2 demand and costs'!L3*1.11</f>
        <v>2.9037362266549702</v>
      </c>
      <c r="N39" s="77">
        <f>'Highway H2 demand and costs'!O3*1.4</f>
        <v>2.8271832362411886</v>
      </c>
      <c r="O39" s="77">
        <f>SUM(L39:N39)</f>
        <v>8.0709194628961587</v>
      </c>
    </row>
    <row r="40" spans="1:39" ht="75" x14ac:dyDescent="0.25">
      <c r="J40" s="266"/>
      <c r="K40" s="81" t="s">
        <v>102</v>
      </c>
      <c r="L40" s="76">
        <f>L39</f>
        <v>2.34</v>
      </c>
      <c r="M40" s="77">
        <f>'Highway H2 demand and costs'!K3*5</f>
        <v>1.1309950474067463</v>
      </c>
      <c r="N40" s="77">
        <f>'Highway H2 demand and costs'!N3*1.4</f>
        <v>2.9259999999999997</v>
      </c>
      <c r="O40" s="77">
        <f>SUM(L40:N40)</f>
        <v>6.3969950474067456</v>
      </c>
      <c r="AI40" s="38" t="s">
        <v>87</v>
      </c>
      <c r="AJ40" s="17" t="s">
        <v>20</v>
      </c>
      <c r="AK40" s="84" t="s">
        <v>21</v>
      </c>
      <c r="AL40" s="84" t="s">
        <v>51</v>
      </c>
      <c r="AM40" s="84" t="s">
        <v>19</v>
      </c>
    </row>
    <row r="41" spans="1:39" ht="15" customHeight="1" x14ac:dyDescent="0.25">
      <c r="J41" s="266"/>
      <c r="K41" s="81" t="s">
        <v>104</v>
      </c>
      <c r="L41" s="76">
        <f>'Highway H2 demand and costs'!I4</f>
        <v>6.4959947295616072</v>
      </c>
      <c r="M41" s="77">
        <f>'Highway H2 demand and costs'!L4*1.11</f>
        <v>2.9037362266549702</v>
      </c>
      <c r="N41" s="77">
        <f>'Highway H2 demand and costs'!O4*1.4</f>
        <v>2.8271832362411886</v>
      </c>
      <c r="O41" s="77">
        <f>SUM(L41:N41)</f>
        <v>12.226914192457766</v>
      </c>
      <c r="AH41" s="266" t="s">
        <v>153</v>
      </c>
      <c r="AI41" s="83" t="s">
        <v>101</v>
      </c>
      <c r="AJ41" s="76">
        <f>'Highway H2 demand and costs'!U3</f>
        <v>5.27</v>
      </c>
      <c r="AK41" s="76">
        <f>'Highway H2 demand and costs'!X3</f>
        <v>2.56</v>
      </c>
      <c r="AL41" s="77">
        <f>'Highway H2 demand and costs'!AA3</f>
        <v>3.7600000000000007</v>
      </c>
      <c r="AM41" s="77">
        <f t="shared" ref="AM41:AM64" si="2">SUM(AJ41:AL41)</f>
        <v>11.59</v>
      </c>
    </row>
    <row r="42" spans="1:39" x14ac:dyDescent="0.25">
      <c r="J42" s="266"/>
      <c r="K42" s="81" t="s">
        <v>105</v>
      </c>
      <c r="L42" s="76">
        <f>'Highway H2 demand and costs'!I4</f>
        <v>6.4959947295616072</v>
      </c>
      <c r="M42" s="77">
        <f>'Highway H2 demand and costs'!K4*5</f>
        <v>1.1309950474067463</v>
      </c>
      <c r="N42" s="77">
        <f>'Highway H2 demand and costs'!N4*1.4</f>
        <v>2.9259999999999997</v>
      </c>
      <c r="O42" s="77">
        <f>SUM(L42:N42)</f>
        <v>10.552989776968353</v>
      </c>
      <c r="P42" t="s">
        <v>186</v>
      </c>
      <c r="AH42" s="266"/>
      <c r="AI42" s="83" t="s">
        <v>102</v>
      </c>
      <c r="AJ42" s="76">
        <f>'Highway H2 demand and costs'!T3</f>
        <v>4.2300000000000004</v>
      </c>
      <c r="AK42" s="77">
        <f>'Highway H2 demand and costs'!W3</f>
        <v>2.1500000000000004</v>
      </c>
      <c r="AL42" s="77">
        <f>'Highway H2 demand and costs'!Z3</f>
        <v>2.88</v>
      </c>
      <c r="AM42" s="77">
        <f t="shared" si="2"/>
        <v>9.2600000000000016</v>
      </c>
    </row>
    <row r="43" spans="1:39" x14ac:dyDescent="0.25">
      <c r="J43" s="266"/>
      <c r="K43" s="79" t="s">
        <v>106</v>
      </c>
      <c r="L43" s="76">
        <f>'Highway H2 demand and costs'!H5</f>
        <v>2</v>
      </c>
      <c r="M43" s="77">
        <f>'Highway H2 demand and costs'!K5</f>
        <v>0</v>
      </c>
      <c r="N43" s="77">
        <f>2.09*1.9</f>
        <v>3.9709999999999996</v>
      </c>
      <c r="O43" s="77">
        <f>L43+N43</f>
        <v>5.9710000000000001</v>
      </c>
      <c r="AH43" s="266"/>
      <c r="AI43" s="83" t="s">
        <v>104</v>
      </c>
      <c r="AJ43" s="76">
        <f>'Highway H2 demand and costs'!U4</f>
        <v>3.2584628362962649</v>
      </c>
      <c r="AK43" s="77">
        <f>'Highway H2 demand and costs'!X4</f>
        <v>1.4</v>
      </c>
      <c r="AL43" s="77">
        <f>'Highway H2 demand and costs'!AA4</f>
        <v>6.52</v>
      </c>
      <c r="AM43" s="77">
        <f t="shared" si="2"/>
        <v>11.178462836296264</v>
      </c>
    </row>
    <row r="44" spans="1:39" x14ac:dyDescent="0.25">
      <c r="J44" s="266"/>
      <c r="K44" s="79" t="s">
        <v>110</v>
      </c>
      <c r="L44" s="76">
        <f>L43</f>
        <v>2</v>
      </c>
      <c r="M44" s="77">
        <f>M43</f>
        <v>0</v>
      </c>
      <c r="N44" s="77">
        <f>'Highway H2 demand and costs'!O5*1.5</f>
        <v>6.1631483979790325</v>
      </c>
      <c r="O44" s="77">
        <f>SUM(L44:N44)</f>
        <v>8.1631483979790325</v>
      </c>
      <c r="P44" s="78">
        <f>AVERAGE(O40:O46)</f>
        <v>9.6035994018272763</v>
      </c>
      <c r="AH44" s="266"/>
      <c r="AI44" s="83" t="s">
        <v>105</v>
      </c>
      <c r="AJ44" s="76">
        <f>'Highway H2 demand and costs'!T4</f>
        <v>2.2184628362962648</v>
      </c>
      <c r="AK44" s="77">
        <v>1.0900000000000001</v>
      </c>
      <c r="AL44" s="77">
        <f>'Highway H2 demand and costs'!Z4</f>
        <v>5.6400000000000006</v>
      </c>
      <c r="AM44" s="77">
        <f t="shared" si="2"/>
        <v>8.9484628362962653</v>
      </c>
    </row>
    <row r="45" spans="1:39" x14ac:dyDescent="0.25">
      <c r="J45" s="266"/>
      <c r="K45" s="79" t="s">
        <v>107</v>
      </c>
      <c r="L45" s="76">
        <f>'Highway H2 demand and costs'!I6</f>
        <v>6.89</v>
      </c>
      <c r="M45" s="77">
        <f>'Highway H2 demand and costs'!K6</f>
        <v>0</v>
      </c>
      <c r="N45" s="77">
        <f>N43</f>
        <v>3.9709999999999996</v>
      </c>
      <c r="O45" s="77">
        <f>SUM(L45:N45)</f>
        <v>10.860999999999999</v>
      </c>
      <c r="AH45" s="266"/>
      <c r="AI45" s="79" t="s">
        <v>106</v>
      </c>
      <c r="AJ45" s="76">
        <v>1.47</v>
      </c>
      <c r="AK45" s="77">
        <v>0.65</v>
      </c>
      <c r="AL45" s="77">
        <v>4.2</v>
      </c>
      <c r="AM45" s="77">
        <f t="shared" si="2"/>
        <v>6.32</v>
      </c>
    </row>
    <row r="46" spans="1:39" x14ac:dyDescent="0.25">
      <c r="J46" s="266"/>
      <c r="K46" s="79" t="s">
        <v>108</v>
      </c>
      <c r="L46" s="76">
        <f>L45</f>
        <v>6.89</v>
      </c>
      <c r="M46" s="77">
        <f>M45</f>
        <v>0</v>
      </c>
      <c r="N46" s="56">
        <f>N44</f>
        <v>6.1631483979790325</v>
      </c>
      <c r="O46" s="77">
        <f>SUM(L46:N46)</f>
        <v>13.053148397979033</v>
      </c>
      <c r="AH46" s="266"/>
      <c r="AI46" s="79" t="s">
        <v>110</v>
      </c>
      <c r="AJ46" s="76">
        <f>'Highway H2 demand and costs'!U5</f>
        <v>2.519465152816788</v>
      </c>
      <c r="AK46" s="77">
        <f>'Highway H2 demand and costs'!X5</f>
        <v>1.5178384984117987</v>
      </c>
      <c r="AL46" s="77">
        <f>'Highway H2 demand and costs'!AA5</f>
        <v>2.0572300145681828</v>
      </c>
      <c r="AM46" s="77">
        <f t="shared" si="2"/>
        <v>6.0945336657967699</v>
      </c>
    </row>
    <row r="47" spans="1:39" x14ac:dyDescent="0.25">
      <c r="J47" s="267" t="s">
        <v>154</v>
      </c>
      <c r="K47" s="81" t="s">
        <v>101</v>
      </c>
      <c r="L47" s="76">
        <f>'Highway H2 demand and costs'!H9</f>
        <v>2.4700000000000002</v>
      </c>
      <c r="M47" s="56">
        <f>'Highway H2 demand and costs'!L9*1.1</f>
        <v>2.3925675242143658</v>
      </c>
      <c r="N47" s="56">
        <f>'Highway H2 demand and costs'!O9*2.2</f>
        <v>2.4210170214650035</v>
      </c>
      <c r="O47" s="77">
        <f t="shared" ref="O47:O50" si="3">SUM(L47:N47)</f>
        <v>7.2835845456793695</v>
      </c>
      <c r="AH47" s="266"/>
      <c r="AI47" s="79" t="s">
        <v>107</v>
      </c>
      <c r="AJ47" s="76">
        <v>2.09</v>
      </c>
      <c r="AK47" s="77">
        <v>1.0900000000000001</v>
      </c>
      <c r="AL47" s="77">
        <f>5.45</f>
        <v>5.45</v>
      </c>
      <c r="AM47" s="77">
        <f t="shared" si="2"/>
        <v>8.629999999999999</v>
      </c>
    </row>
    <row r="48" spans="1:39" x14ac:dyDescent="0.25">
      <c r="J48" s="268"/>
      <c r="K48" s="81" t="s">
        <v>102</v>
      </c>
      <c r="L48" s="76">
        <f>L47</f>
        <v>2.4700000000000002</v>
      </c>
      <c r="M48" s="76">
        <f>'Highway H2 demand and costs'!K9*3.5</f>
        <v>0.73104148281152692</v>
      </c>
      <c r="N48" s="77">
        <f>'Highway H2 demand and costs'!N9*2</f>
        <v>2.2999999999999998</v>
      </c>
      <c r="O48" s="77">
        <f t="shared" si="3"/>
        <v>5.5010414828115266</v>
      </c>
      <c r="AH48" s="266"/>
      <c r="AI48" s="79" t="s">
        <v>108</v>
      </c>
      <c r="AJ48" s="76">
        <f>'Highway H2 demand and costs'!U6</f>
        <v>2.9395261350399715</v>
      </c>
      <c r="AK48" s="77">
        <f>'Highway H2 demand and costs'!X6</f>
        <v>1.6096027373082373</v>
      </c>
      <c r="AL48" s="85">
        <f>'Highway H2 demand and costs'!AA6</f>
        <v>6.3665409127546813</v>
      </c>
      <c r="AM48" s="77">
        <f t="shared" si="2"/>
        <v>10.915669785102891</v>
      </c>
    </row>
    <row r="49" spans="10:46" ht="15" customHeight="1" x14ac:dyDescent="0.25">
      <c r="J49" s="268"/>
      <c r="K49" s="81" t="s">
        <v>104</v>
      </c>
      <c r="L49" s="76">
        <f>'Highway H2 demand and costs'!I10</f>
        <v>4.1248474100374786</v>
      </c>
      <c r="M49" s="76">
        <f>'Highway H2 demand and costs'!L10*1.1</f>
        <v>2.3925675242143658</v>
      </c>
      <c r="N49" s="77">
        <f>'Highway H2 demand and costs'!O10*2.2</f>
        <v>2.4210170214650035</v>
      </c>
      <c r="O49" s="77">
        <f t="shared" si="3"/>
        <v>8.9384319557168475</v>
      </c>
      <c r="AH49" s="267" t="s">
        <v>154</v>
      </c>
      <c r="AI49" s="83" t="s">
        <v>101</v>
      </c>
      <c r="AJ49" s="76">
        <f>'Highway H2 demand and costs'!U9</f>
        <v>4.6326259463228237</v>
      </c>
      <c r="AK49" s="85">
        <f>'Highway H2 demand and costs'!X9</f>
        <v>1.7453517813209205</v>
      </c>
      <c r="AL49" s="85">
        <f>'Highway H2 demand and costs'!AA9</f>
        <v>2.1824845548403484</v>
      </c>
      <c r="AM49" s="77">
        <f t="shared" si="2"/>
        <v>8.5604622824840924</v>
      </c>
    </row>
    <row r="50" spans="10:46" x14ac:dyDescent="0.25">
      <c r="J50" s="268"/>
      <c r="K50" s="81" t="s">
        <v>105</v>
      </c>
      <c r="L50" s="76">
        <f>L49</f>
        <v>4.1248474100374786</v>
      </c>
      <c r="M50" s="76">
        <f>'Highway H2 demand and costs'!K10*3.5</f>
        <v>0.73104148281152692</v>
      </c>
      <c r="N50" s="77">
        <f>'Highway H2 demand and costs'!N10*2</f>
        <v>2.2999999999999998</v>
      </c>
      <c r="O50" s="77">
        <f t="shared" si="3"/>
        <v>7.1558888928490054</v>
      </c>
      <c r="P50" s="78">
        <f>AVERAGE(O47:O54)</f>
        <v>6.9193689590015204</v>
      </c>
      <c r="AH50" s="268"/>
      <c r="AI50" s="83" t="s">
        <v>102</v>
      </c>
      <c r="AJ50" s="76">
        <f>'Highway H2 demand and costs'!T9</f>
        <v>3.61</v>
      </c>
      <c r="AK50" s="76">
        <f>'Highway H2 demand and costs'!W9</f>
        <v>1.3599999999999999</v>
      </c>
      <c r="AL50" s="77">
        <f>'Highway H2 demand and costs'!Z9</f>
        <v>1.68</v>
      </c>
      <c r="AM50" s="77">
        <f t="shared" si="2"/>
        <v>6.6499999999999995</v>
      </c>
    </row>
    <row r="51" spans="10:46" x14ac:dyDescent="0.25">
      <c r="J51" s="268"/>
      <c r="K51" s="79" t="s">
        <v>106</v>
      </c>
      <c r="L51" s="76">
        <f>'Highway H2 demand and costs'!H11</f>
        <v>2.08</v>
      </c>
      <c r="M51" s="77">
        <v>0</v>
      </c>
      <c r="N51" s="77">
        <f>1.15*1.9</f>
        <v>2.1849999999999996</v>
      </c>
      <c r="O51" s="77">
        <f t="shared" ref="O51:O62" si="4">SUM(L51:N51)</f>
        <v>4.2649999999999997</v>
      </c>
      <c r="AH51" s="268"/>
      <c r="AI51" s="83" t="s">
        <v>104</v>
      </c>
      <c r="AJ51" s="76">
        <f>'Highway H2 demand and costs'!U10</f>
        <v>2.4326259463228239</v>
      </c>
      <c r="AK51" s="76">
        <f>'Highway H2 demand and costs'!X10</f>
        <v>1.1053517813209206</v>
      </c>
      <c r="AL51" s="77">
        <f>'Highway H2 demand and costs'!AA10</f>
        <v>3.912484554840348</v>
      </c>
      <c r="AM51" s="77">
        <f t="shared" si="2"/>
        <v>7.4504622824840929</v>
      </c>
    </row>
    <row r="52" spans="10:46" x14ac:dyDescent="0.25">
      <c r="J52" s="268"/>
      <c r="K52" s="79" t="s">
        <v>110</v>
      </c>
      <c r="L52" s="76">
        <f>L51</f>
        <v>2.08</v>
      </c>
      <c r="M52" s="77">
        <v>0</v>
      </c>
      <c r="N52" s="77">
        <f>'Highway H2 demand and costs'!O11*1.5</f>
        <v>4.2330023974777102</v>
      </c>
      <c r="O52" s="77">
        <f t="shared" si="4"/>
        <v>6.3130023974777103</v>
      </c>
      <c r="AH52" s="268"/>
      <c r="AI52" s="83" t="s">
        <v>105</v>
      </c>
      <c r="AJ52" s="76">
        <f>'Highway H2 demand and costs'!T10</f>
        <v>1.4100000000000001</v>
      </c>
      <c r="AK52" s="76">
        <f>'Highway H2 demand and costs'!W10</f>
        <v>0.72</v>
      </c>
      <c r="AL52" s="77">
        <f>'Highway H2 demand and costs'!Z10</f>
        <v>3.41</v>
      </c>
      <c r="AM52" s="77">
        <f t="shared" si="2"/>
        <v>5.54</v>
      </c>
    </row>
    <row r="53" spans="10:46" x14ac:dyDescent="0.25">
      <c r="J53" s="268"/>
      <c r="K53" s="79" t="s">
        <v>107</v>
      </c>
      <c r="L53" s="76">
        <f>'Highway H2 demand and costs'!I12</f>
        <v>4.74</v>
      </c>
      <c r="M53" s="77">
        <v>0</v>
      </c>
      <c r="N53" s="77">
        <f>N51</f>
        <v>2.1849999999999996</v>
      </c>
      <c r="O53" s="77">
        <f t="shared" si="4"/>
        <v>6.9249999999999998</v>
      </c>
      <c r="AH53" s="268"/>
      <c r="AI53" s="79" t="s">
        <v>106</v>
      </c>
      <c r="AJ53" s="76">
        <f>0.84</f>
        <v>0.84</v>
      </c>
      <c r="AK53" s="77">
        <f>0.46</f>
        <v>0.46</v>
      </c>
      <c r="AL53" s="77">
        <f>3.04</f>
        <v>3.04</v>
      </c>
      <c r="AM53" s="77">
        <f t="shared" si="2"/>
        <v>4.34</v>
      </c>
    </row>
    <row r="54" spans="10:46" x14ac:dyDescent="0.25">
      <c r="J54" s="268"/>
      <c r="K54" s="79" t="s">
        <v>108</v>
      </c>
      <c r="L54" s="76">
        <f>L53</f>
        <v>4.74</v>
      </c>
      <c r="M54" s="77">
        <v>0</v>
      </c>
      <c r="N54" s="56">
        <f>N52</f>
        <v>4.2330023974777102</v>
      </c>
      <c r="O54" s="77">
        <f t="shared" si="4"/>
        <v>8.9730023974777104</v>
      </c>
      <c r="AH54" s="268"/>
      <c r="AI54" s="79" t="s">
        <v>110</v>
      </c>
      <c r="AJ54" s="76">
        <f>'Highway H2 demand and costs'!U11</f>
        <v>1.9079771197365545</v>
      </c>
      <c r="AK54" s="77">
        <f>'Highway H2 demand and costs'!X11</f>
        <v>1.3002191803027248</v>
      </c>
      <c r="AL54" s="77">
        <f>'Highway H2 demand and costs'!AA11</f>
        <v>1.6926945694085302</v>
      </c>
      <c r="AM54" s="77">
        <f t="shared" si="2"/>
        <v>4.9008908694478093</v>
      </c>
    </row>
    <row r="55" spans="10:46" x14ac:dyDescent="0.25">
      <c r="J55" s="266" t="s">
        <v>155</v>
      </c>
      <c r="K55" s="81" t="s">
        <v>101</v>
      </c>
      <c r="L55" s="76">
        <f>'Highway H2 demand and costs'!H15</f>
        <v>2.2599999999999998</v>
      </c>
      <c r="M55" s="76">
        <f>'Highway H2 demand and costs'!L15</f>
        <v>1.7925313677577104</v>
      </c>
      <c r="N55" s="77">
        <f>'Highway H2 demand and costs'!O15</f>
        <v>0.84002953992300167</v>
      </c>
      <c r="O55" s="77">
        <f t="shared" si="4"/>
        <v>4.8925609076807124</v>
      </c>
      <c r="AH55" s="268"/>
      <c r="AI55" s="79" t="s">
        <v>107</v>
      </c>
      <c r="AJ55" s="76">
        <f>1.3</f>
        <v>1.3</v>
      </c>
      <c r="AK55" s="77">
        <f>0.79</f>
        <v>0.79</v>
      </c>
      <c r="AL55" s="77">
        <f>3.25</f>
        <v>3.25</v>
      </c>
      <c r="AM55" s="77">
        <f t="shared" si="2"/>
        <v>5.34</v>
      </c>
    </row>
    <row r="56" spans="10:46" x14ac:dyDescent="0.25">
      <c r="J56" s="266"/>
      <c r="K56" s="81" t="s">
        <v>102</v>
      </c>
      <c r="L56" s="190">
        <f>L55</f>
        <v>2.2599999999999998</v>
      </c>
      <c r="M56" s="76">
        <f>'Highway H2 demand and costs'!K15*3</f>
        <v>0.61668573995821385</v>
      </c>
      <c r="N56" s="77">
        <f>'Highway H2 demand and costs'!N15</f>
        <v>0.89</v>
      </c>
      <c r="O56" s="77">
        <f t="shared" si="4"/>
        <v>3.7666857399582137</v>
      </c>
      <c r="AH56" s="268"/>
      <c r="AI56" s="79" t="s">
        <v>108</v>
      </c>
      <c r="AJ56" s="76">
        <f>'Highway H2 demand and costs'!U12</f>
        <v>2.1831977866393877</v>
      </c>
      <c r="AK56" s="77">
        <f>'Highway H2 demand and costs'!X12</f>
        <v>1.3047483641203745</v>
      </c>
      <c r="AL56" s="85">
        <f>'Highway H2 demand and costs'!AA12</f>
        <v>3.7987765520376979</v>
      </c>
      <c r="AM56" s="77">
        <f t="shared" si="2"/>
        <v>7.2867227027974604</v>
      </c>
    </row>
    <row r="57" spans="10:46" ht="15" customHeight="1" x14ac:dyDescent="0.25">
      <c r="J57" s="266"/>
      <c r="K57" s="81" t="s">
        <v>104</v>
      </c>
      <c r="L57" s="76">
        <f>'Highway H2 demand and costs'!I16</f>
        <v>1.39</v>
      </c>
      <c r="M57" s="76">
        <f>'Highway H2 demand and costs'!L16</f>
        <v>1.7925313677577104</v>
      </c>
      <c r="N57" s="77">
        <f>'Highway H2 demand and costs'!O15</f>
        <v>0.84002953992300167</v>
      </c>
      <c r="O57" s="77">
        <f t="shared" si="4"/>
        <v>4.0225609076807123</v>
      </c>
      <c r="AH57" s="266" t="s">
        <v>155</v>
      </c>
      <c r="AI57" s="83" t="s">
        <v>101</v>
      </c>
      <c r="AJ57" s="76">
        <f>'Highway H2 demand and costs'!U15</f>
        <v>4.5233607673382448</v>
      </c>
      <c r="AK57" s="76">
        <f>'Highway H2 demand and costs'!X15</f>
        <v>2.9991739209713066</v>
      </c>
      <c r="AL57" s="77">
        <f>'Highway H2 demand and costs'!AA15</f>
        <v>2.4974948516134492</v>
      </c>
      <c r="AM57" s="77">
        <f t="shared" si="2"/>
        <v>10.020029539923001</v>
      </c>
    </row>
    <row r="58" spans="10:46" x14ac:dyDescent="0.25">
      <c r="J58" s="266"/>
      <c r="K58" s="81" t="s">
        <v>105</v>
      </c>
      <c r="L58" s="76">
        <f>'Highway H2 demand and costs'!I16</f>
        <v>1.39</v>
      </c>
      <c r="M58" s="76">
        <f>'Highway H2 demand and costs'!K16*3</f>
        <v>0.61668573995821385</v>
      </c>
      <c r="N58" s="77">
        <f>'Highway H2 demand and costs'!N16</f>
        <v>0.89</v>
      </c>
      <c r="O58" s="77">
        <f t="shared" si="4"/>
        <v>2.896685739958214</v>
      </c>
      <c r="P58" s="78">
        <f>AVERAGE(O55:O62)</f>
        <v>3.4165315581915081</v>
      </c>
      <c r="AH58" s="266"/>
      <c r="AI58" s="83" t="s">
        <v>102</v>
      </c>
      <c r="AJ58" s="76">
        <f>'Highway H2 demand and costs'!T15</f>
        <v>3.51</v>
      </c>
      <c r="AK58" s="76">
        <f>'Highway H2 demand and costs'!W15</f>
        <v>2.62</v>
      </c>
      <c r="AL58" s="77">
        <f>'Highway H2 demand and costs'!Z15</f>
        <v>2.35</v>
      </c>
      <c r="AM58" s="77">
        <f t="shared" si="2"/>
        <v>8.48</v>
      </c>
    </row>
    <row r="59" spans="10:46" ht="18.75" x14ac:dyDescent="0.3">
      <c r="J59" s="266"/>
      <c r="K59" s="79" t="s">
        <v>106</v>
      </c>
      <c r="L59" s="190">
        <f>'Highway H2 demand and costs'!H17</f>
        <v>2.09</v>
      </c>
      <c r="M59" s="77">
        <v>0</v>
      </c>
      <c r="N59" s="77">
        <v>0.89</v>
      </c>
      <c r="O59" s="77">
        <f t="shared" si="4"/>
        <v>2.98</v>
      </c>
      <c r="V59" s="276" t="s">
        <v>140</v>
      </c>
      <c r="W59" s="276"/>
      <c r="X59" s="276"/>
      <c r="Y59" s="276"/>
      <c r="Z59" s="276"/>
      <c r="AH59" s="266"/>
      <c r="AI59" s="83" t="s">
        <v>104</v>
      </c>
      <c r="AJ59" s="76">
        <f>'Highway H2 demand and costs'!U16</f>
        <v>1.9033607673382456</v>
      </c>
      <c r="AK59" s="76">
        <f>'Highway H2 demand and costs'!X16</f>
        <v>0.86917392097130663</v>
      </c>
      <c r="AL59" s="77">
        <f>'Highway H2 demand and costs'!AA16</f>
        <v>1.3174948516134493</v>
      </c>
      <c r="AM59" s="77">
        <f t="shared" si="2"/>
        <v>4.0900295399230018</v>
      </c>
    </row>
    <row r="60" spans="10:46" x14ac:dyDescent="0.25">
      <c r="J60" s="266"/>
      <c r="K60" s="79" t="s">
        <v>110</v>
      </c>
      <c r="L60" s="76">
        <f>L59</f>
        <v>2.09</v>
      </c>
      <c r="M60" s="77">
        <v>0</v>
      </c>
      <c r="N60" s="77">
        <f>'Highway H2 demand and costs'!O17*0.5</f>
        <v>1.0968795851271043</v>
      </c>
      <c r="O60" s="77">
        <f t="shared" si="4"/>
        <v>3.1868795851271043</v>
      </c>
      <c r="AH60" s="266"/>
      <c r="AI60" s="83" t="s">
        <v>105</v>
      </c>
      <c r="AJ60" s="76">
        <f>'Highway H2 demand and costs'!T16</f>
        <v>0.89</v>
      </c>
      <c r="AK60" s="76">
        <f>'Highway H2 demand and costs'!W16</f>
        <v>0.49</v>
      </c>
      <c r="AL60" s="77">
        <f>'Highway H2 demand and costs'!Z16</f>
        <v>1.1700000000000002</v>
      </c>
      <c r="AM60" s="77">
        <f t="shared" si="2"/>
        <v>2.5499999999999998</v>
      </c>
    </row>
    <row r="61" spans="10:46" x14ac:dyDescent="0.25">
      <c r="J61" s="266"/>
      <c r="K61" s="79" t="s">
        <v>107</v>
      </c>
      <c r="L61" s="76">
        <f>'Highway H2 demand and costs'!I18</f>
        <v>1.8</v>
      </c>
      <c r="M61" s="77">
        <v>0</v>
      </c>
      <c r="N61" s="77">
        <f>N59</f>
        <v>0.89</v>
      </c>
      <c r="O61" s="77">
        <f t="shared" si="4"/>
        <v>2.69</v>
      </c>
      <c r="AH61" s="266"/>
      <c r="AI61" s="79" t="s">
        <v>106</v>
      </c>
      <c r="AJ61" s="76">
        <f>0.74</f>
        <v>0.74</v>
      </c>
      <c r="AK61" s="77">
        <f>0.44</f>
        <v>0.44</v>
      </c>
      <c r="AL61" s="77">
        <f>2</f>
        <v>2</v>
      </c>
      <c r="AM61" s="77">
        <f t="shared" si="2"/>
        <v>3.1799999999999997</v>
      </c>
      <c r="AQ61" t="s">
        <v>117</v>
      </c>
      <c r="AR61" t="s">
        <v>118</v>
      </c>
    </row>
    <row r="62" spans="10:46" ht="43.5" customHeight="1" x14ac:dyDescent="0.25">
      <c r="J62" s="266"/>
      <c r="K62" s="79" t="s">
        <v>108</v>
      </c>
      <c r="L62" s="76">
        <f>L61</f>
        <v>1.8</v>
      </c>
      <c r="M62" s="76">
        <v>0</v>
      </c>
      <c r="N62" s="56">
        <f>N60</f>
        <v>1.0968795851271043</v>
      </c>
      <c r="O62" s="77">
        <f t="shared" si="4"/>
        <v>2.8968795851271043</v>
      </c>
      <c r="U62" s="16" t="s">
        <v>141</v>
      </c>
      <c r="V62" s="16" t="s">
        <v>142</v>
      </c>
      <c r="W62" s="16" t="s">
        <v>144</v>
      </c>
      <c r="X62" s="16" t="s">
        <v>143</v>
      </c>
      <c r="Y62" s="40"/>
      <c r="AH62" s="266"/>
      <c r="AI62" s="79" t="s">
        <v>110</v>
      </c>
      <c r="AJ62" s="76">
        <f>'Highway H2 demand and costs'!U17</f>
        <v>1.7744862594521615</v>
      </c>
      <c r="AK62" s="77">
        <f>'Highway H2 demand and costs'!X17</f>
        <v>1.2467113099383189</v>
      </c>
      <c r="AL62" s="77">
        <f>'Highway H2 demand and costs'!AA17</f>
        <v>1.2527263565165607</v>
      </c>
      <c r="AM62" s="77">
        <f t="shared" si="2"/>
        <v>4.2739239259070416</v>
      </c>
      <c r="AO62" s="275" t="s">
        <v>26</v>
      </c>
      <c r="AP62" t="s">
        <v>101</v>
      </c>
      <c r="AQ62" s="78">
        <f>AH6</f>
        <v>12.969123140565111</v>
      </c>
      <c r="AR62" s="78">
        <f>AM41</f>
        <v>11.59</v>
      </c>
      <c r="AS62">
        <f>(AQ62-AR62)/AQ62</f>
        <v>0.10633896568160876</v>
      </c>
    </row>
    <row r="63" spans="10:46" ht="30" x14ac:dyDescent="0.25">
      <c r="U63" s="229" t="s">
        <v>176</v>
      </c>
      <c r="V63" s="26" t="s">
        <v>153</v>
      </c>
      <c r="W63" s="18" t="s">
        <v>100</v>
      </c>
      <c r="X63" s="76">
        <f>MIN(M6:M11)</f>
        <v>9.0879847842073875</v>
      </c>
      <c r="AH63" s="266"/>
      <c r="AI63" s="79" t="s">
        <v>107</v>
      </c>
      <c r="AJ63" s="76">
        <f>0.83</f>
        <v>0.83</v>
      </c>
      <c r="AK63" s="77">
        <f>0.49</f>
        <v>0.49</v>
      </c>
      <c r="AL63" s="77">
        <f>1.04</f>
        <v>1.04</v>
      </c>
      <c r="AM63" s="77">
        <f t="shared" si="2"/>
        <v>2.36</v>
      </c>
      <c r="AO63" s="275"/>
      <c r="AP63" t="s">
        <v>102</v>
      </c>
      <c r="AQ63" s="78">
        <f>AH7</f>
        <v>11.090823133308566</v>
      </c>
      <c r="AR63" s="78">
        <f>AM42</f>
        <v>9.2600000000000016</v>
      </c>
      <c r="AS63">
        <f t="shared" ref="AS63:AS70" si="5">(AQ63-AR63)/AQ63</f>
        <v>0.16507549631822516</v>
      </c>
    </row>
    <row r="64" spans="10:46" ht="30" x14ac:dyDescent="0.25">
      <c r="U64" s="229"/>
      <c r="V64" s="26" t="s">
        <v>179</v>
      </c>
      <c r="W64" s="18" t="s">
        <v>100</v>
      </c>
      <c r="X64" s="76">
        <f>MIN(M12:M17)</f>
        <v>7.6075776547879421</v>
      </c>
      <c r="AH64" s="266"/>
      <c r="AI64" s="79" t="s">
        <v>108</v>
      </c>
      <c r="AJ64" s="76">
        <f>'Highway H2 demand and costs'!U18</f>
        <v>1.6921737463903015</v>
      </c>
      <c r="AK64" s="76">
        <f>'Highway H2 demand and costs'!X18</f>
        <v>1.0031211529720325</v>
      </c>
      <c r="AL64" s="85">
        <f>'Highway H2 demand and costs'!AA18</f>
        <v>1.2271645599174763</v>
      </c>
      <c r="AM64" s="77">
        <f t="shared" si="2"/>
        <v>3.9224594592798105</v>
      </c>
      <c r="AO64" s="275"/>
      <c r="AP64" t="s">
        <v>104</v>
      </c>
      <c r="AQ64" s="78">
        <f>AH9</f>
        <v>12.557585976861375</v>
      </c>
      <c r="AR64" s="78">
        <f>AM43</f>
        <v>11.178462836296264</v>
      </c>
      <c r="AS64">
        <f t="shared" si="5"/>
        <v>0.10982390589292286</v>
      </c>
      <c r="AT64">
        <f>AVERAGE(AS62:AS65)</f>
        <v>0.13582782367507448</v>
      </c>
    </row>
    <row r="65" spans="1:46" ht="30" x14ac:dyDescent="0.25">
      <c r="U65" s="229"/>
      <c r="V65" s="26" t="s">
        <v>165</v>
      </c>
      <c r="W65" s="18" t="s">
        <v>105</v>
      </c>
      <c r="X65" s="76">
        <f>MIN(M18:M23)</f>
        <v>4.0480753680673018</v>
      </c>
      <c r="AO65" s="275"/>
      <c r="AP65" t="s">
        <v>105</v>
      </c>
      <c r="AQ65" s="78">
        <f>AH10</f>
        <v>10.67928596960483</v>
      </c>
      <c r="AR65" s="78">
        <f>AM44</f>
        <v>8.9484628362962653</v>
      </c>
      <c r="AS65">
        <f t="shared" si="5"/>
        <v>0.16207292680754118</v>
      </c>
    </row>
    <row r="66" spans="1:46" ht="45.75" x14ac:dyDescent="0.3">
      <c r="A66" s="257" t="s">
        <v>89</v>
      </c>
      <c r="B66" s="257"/>
      <c r="C66" s="257"/>
      <c r="D66" s="257"/>
      <c r="E66" s="257"/>
      <c r="F66" s="257"/>
      <c r="U66" s="229" t="s">
        <v>175</v>
      </c>
      <c r="V66" s="26" t="s">
        <v>178</v>
      </c>
      <c r="W66" s="18" t="s">
        <v>106</v>
      </c>
      <c r="X66" s="76">
        <f>MIN(O40:O46)</f>
        <v>5.9710000000000001</v>
      </c>
    </row>
    <row r="67" spans="1:46" ht="30" x14ac:dyDescent="0.25">
      <c r="U67" s="229"/>
      <c r="V67" s="26" t="s">
        <v>179</v>
      </c>
      <c r="W67" s="18" t="s">
        <v>106</v>
      </c>
      <c r="X67" s="76">
        <f>MIN(O47:O54)</f>
        <v>4.2649999999999997</v>
      </c>
      <c r="AO67" s="275" t="s">
        <v>28</v>
      </c>
      <c r="AP67" t="s">
        <v>101</v>
      </c>
      <c r="AQ67" s="78">
        <f>AH18</f>
        <v>11.548029751480069</v>
      </c>
      <c r="AR67" s="78">
        <f>AM57</f>
        <v>10.020029539923001</v>
      </c>
      <c r="AS67">
        <f t="shared" si="5"/>
        <v>0.13231696180564734</v>
      </c>
    </row>
    <row r="68" spans="1:46" ht="44.25" customHeight="1" x14ac:dyDescent="0.25">
      <c r="A68" s="15" t="s">
        <v>24</v>
      </c>
      <c r="B68" s="16" t="s">
        <v>90</v>
      </c>
      <c r="U68" s="229"/>
      <c r="V68" s="26" t="s">
        <v>177</v>
      </c>
      <c r="W68" s="18" t="s">
        <v>107</v>
      </c>
      <c r="X68" s="76">
        <f>MIN(O55:O62)</f>
        <v>2.69</v>
      </c>
      <c r="AO68" s="275"/>
      <c r="AP68" t="s">
        <v>102</v>
      </c>
      <c r="AQ68" s="78">
        <f>AH19</f>
        <v>9.69</v>
      </c>
      <c r="AR68" s="78">
        <f>AM58</f>
        <v>8.48</v>
      </c>
      <c r="AS68">
        <f t="shared" si="5"/>
        <v>0.12487100103199165</v>
      </c>
      <c r="AT68">
        <f>AVERAGE(AS67:AS70)</f>
        <v>0.21118757731487015</v>
      </c>
    </row>
    <row r="69" spans="1:46" x14ac:dyDescent="0.25">
      <c r="A69" s="18">
        <v>2020</v>
      </c>
      <c r="B69" s="80">
        <f>('production plant capacity'!H3*[52]electrolyis!$J$14)+([52]electrolyis!$J$4*'production plant capacity'!N3)</f>
        <v>0</v>
      </c>
      <c r="AO69" s="275"/>
      <c r="AP69" t="s">
        <v>104</v>
      </c>
      <c r="AQ69" s="78">
        <f>AH21</f>
        <v>5.5980297514800688</v>
      </c>
      <c r="AR69" s="78">
        <f>AM59</f>
        <v>4.0900295399230018</v>
      </c>
      <c r="AS69">
        <f t="shared" si="5"/>
        <v>0.26938052824002323</v>
      </c>
    </row>
    <row r="70" spans="1:46" ht="60" x14ac:dyDescent="0.25">
      <c r="A70" s="26" t="s">
        <v>153</v>
      </c>
      <c r="B70" s="80">
        <f>('production plant capacity'!H4*[52]electrolyis!$J$14)+([52]electrolyis!$J$4*'production plant capacity'!N4)</f>
        <v>3183.3916795473388</v>
      </c>
      <c r="AO70" s="275"/>
      <c r="AP70" t="s">
        <v>105</v>
      </c>
      <c r="AQ70" s="78">
        <f>AH22</f>
        <v>3.74</v>
      </c>
      <c r="AR70" s="78">
        <f>AM60</f>
        <v>2.5499999999999998</v>
      </c>
      <c r="AS70">
        <f t="shared" si="5"/>
        <v>0.31818181818181829</v>
      </c>
    </row>
    <row r="71" spans="1:46" ht="45" x14ac:dyDescent="0.25">
      <c r="A71" s="26" t="s">
        <v>154</v>
      </c>
      <c r="B71" s="80">
        <f>('production plant capacity'!H5*[52]electrolyis!$J$14)+([52]electrolyis!$J$4*'production plant capacity'!N5)</f>
        <v>14086.332870463022</v>
      </c>
    </row>
    <row r="72" spans="1:46" ht="60" x14ac:dyDescent="0.25">
      <c r="A72" s="26" t="s">
        <v>155</v>
      </c>
      <c r="B72" s="80">
        <f>('production plant capacity'!H6*[52]electrolyis!$J$14)+([52]electrolyis!$J$4*'production plant capacity'!N6)</f>
        <v>39075.217350655177</v>
      </c>
    </row>
    <row r="74" spans="1:46" x14ac:dyDescent="0.25">
      <c r="A74" t="s">
        <v>91</v>
      </c>
      <c r="D74" s="38">
        <v>284436.26162499993</v>
      </c>
    </row>
    <row r="75" spans="1:46" x14ac:dyDescent="0.25">
      <c r="A75">
        <f>B72/D74</f>
        <v>0.13737776304405186</v>
      </c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</row>
    <row r="76" spans="1:46" x14ac:dyDescent="0.25"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</row>
    <row r="77" spans="1:46" x14ac:dyDescent="0.25"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39"/>
    </row>
    <row r="78" spans="1:46" x14ac:dyDescent="0.25"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39"/>
    </row>
    <row r="79" spans="1:46" x14ac:dyDescent="0.25"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39"/>
    </row>
    <row r="80" spans="1:46" ht="18.75" x14ac:dyDescent="0.3">
      <c r="A80" s="257" t="s">
        <v>92</v>
      </c>
      <c r="B80" s="257"/>
      <c r="C80" s="257"/>
      <c r="D80" s="257"/>
      <c r="E80" s="257"/>
      <c r="F80" s="257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39"/>
    </row>
    <row r="81" spans="4:31" x14ac:dyDescent="0.25"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39"/>
    </row>
    <row r="82" spans="4:31" ht="32.25" x14ac:dyDescent="0.25">
      <c r="D82" s="40"/>
      <c r="E82" s="40" t="s">
        <v>93</v>
      </c>
      <c r="F82" s="40" t="s">
        <v>94</v>
      </c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</row>
    <row r="83" spans="4:31" x14ac:dyDescent="0.25">
      <c r="D83" s="230" t="s">
        <v>98</v>
      </c>
      <c r="E83" s="26" t="s">
        <v>97</v>
      </c>
      <c r="F83" s="27">
        <v>782</v>
      </c>
    </row>
    <row r="84" spans="4:31" x14ac:dyDescent="0.25">
      <c r="D84" s="230"/>
      <c r="E84" s="26" t="s">
        <v>95</v>
      </c>
      <c r="F84" s="27">
        <v>611.00281151999991</v>
      </c>
    </row>
    <row r="85" spans="4:31" x14ac:dyDescent="0.25">
      <c r="D85" s="230"/>
      <c r="E85" s="26" t="s">
        <v>96</v>
      </c>
      <c r="F85" s="27">
        <v>2100.6616372888766</v>
      </c>
    </row>
    <row r="86" spans="4:31" ht="27" customHeight="1" x14ac:dyDescent="0.25">
      <c r="D86" s="230" t="s">
        <v>99</v>
      </c>
      <c r="E86" s="26" t="s">
        <v>79</v>
      </c>
      <c r="F86" s="269">
        <f>611+185</f>
        <v>796</v>
      </c>
    </row>
    <row r="87" spans="4:31" ht="39" customHeight="1" x14ac:dyDescent="0.25">
      <c r="D87" s="230"/>
      <c r="E87" s="230" t="s">
        <v>81</v>
      </c>
      <c r="F87" s="269"/>
    </row>
    <row r="88" spans="4:31" x14ac:dyDescent="0.25">
      <c r="D88" s="230"/>
      <c r="E88" s="230"/>
      <c r="F88" s="82">
        <f>2101+185</f>
        <v>2286</v>
      </c>
    </row>
  </sheetData>
  <mergeCells count="31">
    <mergeCell ref="U21:W21"/>
    <mergeCell ref="V59:Z59"/>
    <mergeCell ref="U63:U65"/>
    <mergeCell ref="U66:U68"/>
    <mergeCell ref="AO62:AO65"/>
    <mergeCell ref="AO67:AO70"/>
    <mergeCell ref="AH57:AH64"/>
    <mergeCell ref="U23:V23"/>
    <mergeCell ref="W23:X23"/>
    <mergeCell ref="AC5:AC10"/>
    <mergeCell ref="AC11:AC16"/>
    <mergeCell ref="AC17:AC22"/>
    <mergeCell ref="AH41:AH48"/>
    <mergeCell ref="AH49:AH56"/>
    <mergeCell ref="A1:F1"/>
    <mergeCell ref="A26:F26"/>
    <mergeCell ref="B28:C28"/>
    <mergeCell ref="G2:K2"/>
    <mergeCell ref="H12:H17"/>
    <mergeCell ref="H18:H23"/>
    <mergeCell ref="H6:H11"/>
    <mergeCell ref="A80:F80"/>
    <mergeCell ref="D83:D85"/>
    <mergeCell ref="D86:D88"/>
    <mergeCell ref="E87:E88"/>
    <mergeCell ref="F86:F87"/>
    <mergeCell ref="A66:F66"/>
    <mergeCell ref="J39:J46"/>
    <mergeCell ref="J55:J62"/>
    <mergeCell ref="J47:J54"/>
    <mergeCell ref="I36:M36"/>
  </mergeCells>
  <pageMargins left="0.7" right="0.7" top="0.75" bottom="0.75" header="0.3" footer="0.3"/>
  <pageSetup orientation="portrait" r:id="rId1"/>
  <ignoredErrors>
    <ignoredError sqref="O43 L53:O54 L61 L45 L49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907-B2F7-4CBC-B622-5DBF0ADADB03}">
  <dimension ref="B8:G33"/>
  <sheetViews>
    <sheetView workbookViewId="0">
      <selection activeCell="E8" sqref="E8:G17"/>
    </sheetView>
  </sheetViews>
  <sheetFormatPr defaultRowHeight="15" x14ac:dyDescent="0.25"/>
  <cols>
    <col min="6" max="6" width="14.28515625" customWidth="1"/>
    <col min="7" max="7" width="14" customWidth="1"/>
  </cols>
  <sheetData>
    <row r="8" spans="5:7" ht="31.5" x14ac:dyDescent="0.25">
      <c r="E8" s="175"/>
      <c r="F8" s="176" t="s">
        <v>112</v>
      </c>
      <c r="G8" s="176" t="s">
        <v>18</v>
      </c>
    </row>
    <row r="9" spans="5:7" ht="19.5" customHeight="1" x14ac:dyDescent="0.25">
      <c r="E9" s="266" t="s">
        <v>181</v>
      </c>
      <c r="F9" s="175" t="s">
        <v>78</v>
      </c>
      <c r="G9" s="177">
        <v>2.3502521842007189</v>
      </c>
    </row>
    <row r="10" spans="5:7" ht="16.5" customHeight="1" x14ac:dyDescent="0.25">
      <c r="E10" s="266"/>
      <c r="F10" s="175" t="s">
        <v>180</v>
      </c>
      <c r="G10" s="177">
        <v>2.5466397621120489</v>
      </c>
    </row>
    <row r="11" spans="5:7" ht="15.75" x14ac:dyDescent="0.25">
      <c r="E11" s="266"/>
      <c r="F11" s="175" t="s">
        <v>82</v>
      </c>
      <c r="G11" s="177">
        <v>0.77570867557287315</v>
      </c>
    </row>
    <row r="12" spans="5:7" ht="15.75" customHeight="1" x14ac:dyDescent="0.25">
      <c r="E12" s="266" t="s">
        <v>182</v>
      </c>
      <c r="F12" s="175" t="s">
        <v>78</v>
      </c>
      <c r="G12" s="177">
        <v>1.7621652175789317</v>
      </c>
    </row>
    <row r="13" spans="5:7" ht="15.75" customHeight="1" x14ac:dyDescent="0.25">
      <c r="E13" s="266"/>
      <c r="F13" s="175" t="s">
        <v>180</v>
      </c>
      <c r="G13" s="177">
        <v>2.4818647417323803</v>
      </c>
    </row>
    <row r="14" spans="5:7" ht="15.75" x14ac:dyDescent="0.25">
      <c r="E14" s="266"/>
      <c r="F14" s="175" t="s">
        <v>82</v>
      </c>
      <c r="G14" s="177">
        <v>0.73718027291616361</v>
      </c>
    </row>
    <row r="15" spans="5:7" ht="17.25" customHeight="1" x14ac:dyDescent="0.25">
      <c r="E15" s="266" t="s">
        <v>183</v>
      </c>
      <c r="F15" s="175" t="s">
        <v>78</v>
      </c>
      <c r="G15" s="177">
        <v>1.6739510676506639</v>
      </c>
    </row>
    <row r="16" spans="5:7" ht="18" customHeight="1" x14ac:dyDescent="0.25">
      <c r="E16" s="266"/>
      <c r="F16" s="175" t="s">
        <v>180</v>
      </c>
      <c r="G16" s="177">
        <v>2.4698306120886349</v>
      </c>
    </row>
    <row r="17" spans="2:7" ht="15.75" x14ac:dyDescent="0.25">
      <c r="E17" s="266"/>
      <c r="F17" s="175" t="s">
        <v>82</v>
      </c>
      <c r="G17" s="177">
        <v>0.73107736287296465</v>
      </c>
    </row>
    <row r="21" spans="2:7" x14ac:dyDescent="0.25">
      <c r="C21" t="s">
        <v>18</v>
      </c>
    </row>
    <row r="22" spans="2:7" x14ac:dyDescent="0.25">
      <c r="B22" s="174" t="s">
        <v>101</v>
      </c>
      <c r="C22">
        <v>2.615978582572045</v>
      </c>
    </row>
    <row r="23" spans="2:7" x14ac:dyDescent="0.25">
      <c r="B23" s="174" t="s">
        <v>102</v>
      </c>
      <c r="C23">
        <v>0.22619900948134924</v>
      </c>
    </row>
    <row r="24" spans="2:7" x14ac:dyDescent="0.25">
      <c r="B24" s="174" t="s">
        <v>104</v>
      </c>
      <c r="C24">
        <v>2.615978582572045</v>
      </c>
    </row>
    <row r="25" spans="2:7" x14ac:dyDescent="0.25">
      <c r="B25" s="174" t="s">
        <v>105</v>
      </c>
      <c r="C25">
        <v>0.22619900948134924</v>
      </c>
    </row>
    <row r="26" spans="2:7" x14ac:dyDescent="0.25">
      <c r="B26" s="174" t="s">
        <v>101</v>
      </c>
      <c r="C26">
        <v>2.1750613856494234</v>
      </c>
    </row>
    <row r="27" spans="2:7" x14ac:dyDescent="0.25">
      <c r="B27" s="174" t="s">
        <v>102</v>
      </c>
      <c r="C27">
        <v>0.20886899508900769</v>
      </c>
    </row>
    <row r="28" spans="2:7" x14ac:dyDescent="0.25">
      <c r="B28" s="174" t="s">
        <v>104</v>
      </c>
      <c r="C28">
        <v>2.1750613856494234</v>
      </c>
    </row>
    <row r="29" spans="2:7" x14ac:dyDescent="0.25">
      <c r="B29" s="174" t="s">
        <v>105</v>
      </c>
      <c r="C29">
        <v>0.20886899508900769</v>
      </c>
    </row>
    <row r="30" spans="2:7" x14ac:dyDescent="0.25">
      <c r="B30" s="174" t="s">
        <v>101</v>
      </c>
      <c r="C30">
        <v>1.7925313677577104</v>
      </c>
    </row>
    <row r="31" spans="2:7" x14ac:dyDescent="0.25">
      <c r="B31" s="174" t="s">
        <v>102</v>
      </c>
      <c r="C31">
        <v>0.20556191331940463</v>
      </c>
    </row>
    <row r="32" spans="2:7" x14ac:dyDescent="0.25">
      <c r="B32" s="174" t="s">
        <v>104</v>
      </c>
      <c r="C32">
        <v>1.7925313677577104</v>
      </c>
    </row>
    <row r="33" spans="2:3" x14ac:dyDescent="0.25">
      <c r="B33" s="174" t="s">
        <v>105</v>
      </c>
      <c r="C33">
        <v>0.20556191331940463</v>
      </c>
    </row>
  </sheetData>
  <mergeCells count="3">
    <mergeCell ref="E9:E11"/>
    <mergeCell ref="E12:E14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</vt:lpstr>
      <vt:lpstr>production plant capacity</vt:lpstr>
      <vt:lpstr>refuelling stations</vt:lpstr>
      <vt:lpstr>urban refuelH2 demand and costs</vt:lpstr>
      <vt:lpstr>Highway H2 demand and costs</vt:lpstr>
      <vt:lpstr>analysis_vehicles_h2production</vt:lpstr>
      <vt:lpstr>analysis_hydrogen costs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 Fulton</dc:creator>
  <cp:lastModifiedBy>vishnu</cp:lastModifiedBy>
  <dcterms:created xsi:type="dcterms:W3CDTF">2020-06-25T20:02:28Z</dcterms:created>
  <dcterms:modified xsi:type="dcterms:W3CDTF">2021-09-19T05:06:35Z</dcterms:modified>
</cp:coreProperties>
</file>